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S:\975 Manhattan - Los Angeles - Arden\3.3 CDLAC\975 Manhattan - Application\Ready For Review\"/>
    </mc:Choice>
  </mc:AlternateContent>
  <xr:revisionPtr revIDLastSave="0" documentId="13_ncr:1_{A74B12F8-BC84-4D6B-A326-0CBB9BDCC3B6}"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 i="4" l="1"/>
  <c r="C75" i="4"/>
  <c r="AM562" i="3" l="1"/>
  <c r="Z824" i="3"/>
  <c r="AC895" i="3"/>
  <c r="E75" i="4"/>
  <c r="AG457" i="3"/>
  <c r="AG451" i="3"/>
  <c r="AG455" i="3" l="1"/>
  <c r="W854" i="3" l="1"/>
  <c r="AO636" i="3"/>
  <c r="E92" i="4"/>
  <c r="E90" i="4"/>
  <c r="E89" i="4"/>
  <c r="E88" i="4"/>
  <c r="E84" i="4"/>
  <c r="E80" i="4"/>
  <c r="E79" i="4"/>
  <c r="E67" i="4"/>
  <c r="E66" i="4"/>
  <c r="E65" i="4"/>
  <c r="E59" i="4"/>
  <c r="E58" i="4"/>
  <c r="E56" i="4"/>
  <c r="E50" i="4"/>
  <c r="E46" i="4"/>
  <c r="E43" i="4"/>
  <c r="E41" i="4"/>
  <c r="E40" i="4"/>
  <c r="E35" i="4"/>
  <c r="E33" i="4"/>
  <c r="E32" i="4"/>
  <c r="E31" i="4"/>
  <c r="E29" i="4"/>
  <c r="E13" i="4"/>
  <c r="S92" i="4"/>
  <c r="S90" i="4"/>
  <c r="S89" i="4"/>
  <c r="S84" i="4"/>
  <c r="S50" i="4"/>
  <c r="S43" i="4"/>
  <c r="S29" i="4"/>
  <c r="E45" i="4"/>
  <c r="C86" i="4"/>
  <c r="S86" i="4" s="1"/>
  <c r="C65" i="4"/>
  <c r="C91" i="4"/>
  <c r="S91" i="4" s="1"/>
  <c r="C83" i="4"/>
  <c r="E83" i="4" s="1"/>
  <c r="C49" i="4"/>
  <c r="E49" i="4" s="1"/>
  <c r="AA958" i="3"/>
  <c r="AA927" i="3"/>
  <c r="AE706" i="3"/>
  <c r="Z655" i="3"/>
  <c r="Z654" i="3"/>
  <c r="Z653" i="3"/>
  <c r="Z652" i="3"/>
  <c r="T635" i="3"/>
  <c r="AF635" i="3" s="1"/>
  <c r="Q635" i="3"/>
  <c r="AM563" i="3"/>
  <c r="W861" i="3"/>
  <c r="W879" i="3"/>
  <c r="E86" i="4" l="1"/>
  <c r="E91" i="4"/>
  <c r="S99" i="4"/>
  <c r="S80" i="4"/>
  <c r="S79" i="4"/>
  <c r="S67" i="4"/>
  <c r="S66" i="4"/>
  <c r="S41" i="4"/>
  <c r="S40" i="4"/>
  <c r="S35" i="4"/>
  <c r="S33" i="4"/>
  <c r="S32" i="4"/>
  <c r="S31" i="4"/>
  <c r="AA928" i="3" l="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CU728" i="3"/>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CZ730" i="3"/>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DE732" i="3"/>
  <c r="DE733" i="3"/>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9" i="20"/>
  <c r="AQ120" i="20"/>
  <c r="AQ121" i="20"/>
  <c r="AQ122" i="20"/>
  <c r="AQ123" i="20"/>
  <c r="AQ124" i="20"/>
  <c r="AQ125" i="20"/>
  <c r="AQ126" i="20"/>
  <c r="AQ127" i="20"/>
  <c r="AQ128" i="20"/>
  <c r="AQ129" i="20"/>
  <c r="AQ130" i="20"/>
  <c r="AQ131" i="20"/>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X735" i="3"/>
  <c r="AH735"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H104" i="4"/>
  <c r="I104" i="4"/>
  <c r="K104" i="4"/>
  <c r="L104" i="4"/>
  <c r="Q104" i="4"/>
  <c r="E108" i="4"/>
  <c r="F108" i="4"/>
  <c r="F30" i="4" s="1"/>
  <c r="E30" i="4" s="1"/>
  <c r="R30" i="4" s="1"/>
  <c r="G108" i="4"/>
  <c r="G99" i="4" s="1"/>
  <c r="E99" i="4" s="1"/>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38" i="3"/>
  <c r="X739" i="3"/>
  <c r="X740" i="3"/>
  <c r="X741" i="3"/>
  <c r="X742" i="3"/>
  <c r="X743" i="3"/>
  <c r="X744" i="3"/>
  <c r="X745" i="3"/>
  <c r="X746" i="3"/>
  <c r="X747" i="3"/>
  <c r="X748" i="3"/>
  <c r="X749" i="3"/>
  <c r="M840" i="3"/>
  <c r="Q840" i="3"/>
  <c r="U840" i="3"/>
  <c r="Y840" i="3"/>
  <c r="AC840" i="3"/>
  <c r="AG840" i="3"/>
  <c r="Z911" i="3"/>
  <c r="F38" i="4" l="1"/>
  <c r="E38" i="4"/>
  <c r="E104" i="4"/>
  <c r="R99" i="4"/>
  <c r="R104" i="4" s="1"/>
  <c r="T733" i="3"/>
  <c r="T731" i="3"/>
  <c r="T732" i="3"/>
  <c r="O732" i="3" s="1"/>
  <c r="T730" i="3"/>
  <c r="O730" i="3" s="1"/>
  <c r="T729" i="3"/>
  <c r="T728" i="3"/>
  <c r="O728" i="3" s="1"/>
  <c r="T726" i="3"/>
  <c r="O726" i="3" s="1"/>
  <c r="FE726" i="3" s="1"/>
  <c r="T727" i="3"/>
  <c r="O727" i="3" s="1"/>
  <c r="G104" i="4"/>
  <c r="F104" i="4"/>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I58" i="7"/>
  <c r="C9" i="11"/>
  <c r="B63" i="11"/>
  <c r="T63" i="4"/>
  <c r="B96" i="4"/>
  <c r="B38" i="4"/>
  <c r="D84" i="11"/>
  <c r="B54" i="13"/>
  <c r="K63" i="4"/>
  <c r="K97" i="4" s="1"/>
  <c r="K105" i="4" s="1"/>
  <c r="S63" i="4"/>
  <c r="E104" i="13"/>
  <c r="CI761" i="3"/>
  <c r="X1057" i="3" s="1"/>
  <c r="BG252" i="3"/>
  <c r="BO254" i="3" s="1"/>
  <c r="T276" i="3" s="1"/>
  <c r="J7" i="8"/>
  <c r="J40" i="8" s="1"/>
  <c r="Z817"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O71" i="20"/>
  <c r="AP388" i="20"/>
  <c r="AQ388" i="20" s="1"/>
  <c r="AK548" i="20"/>
  <c r="T835" i="20" s="1"/>
  <c r="BF761" i="3"/>
  <c r="CU761" i="3"/>
  <c r="EC656"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E105" i="4" l="1"/>
  <c r="F105" i="4"/>
  <c r="AJ634" i="20"/>
  <c r="AK816" i="20" s="1"/>
  <c r="T841" i="20" s="1"/>
  <c r="AF841" i="20" s="1"/>
  <c r="BE82" i="3" s="1"/>
  <c r="G108" i="21"/>
  <c r="O729" i="3"/>
  <c r="O733" i="3"/>
  <c r="X733" i="3" s="1"/>
  <c r="AH733" i="3" s="1"/>
  <c r="O731" i="3"/>
  <c r="D10" i="8"/>
  <c r="FO732" i="3"/>
  <c r="X732" i="3"/>
  <c r="AH732" i="3" s="1"/>
  <c r="AQ117" i="20"/>
  <c r="D8" i="8"/>
  <c r="X730" i="3"/>
  <c r="AH730" i="3" s="1"/>
  <c r="AQ115" i="20"/>
  <c r="FJ730" i="3"/>
  <c r="X728" i="3"/>
  <c r="AH728" i="3" s="1"/>
  <c r="D6" i="8"/>
  <c r="AQ113" i="20"/>
  <c r="FE728" i="3"/>
  <c r="EC645" i="3" s="1"/>
  <c r="X726" i="3"/>
  <c r="AH726" i="3" s="1"/>
  <c r="D4" i="8"/>
  <c r="AQ111" i="20"/>
  <c r="X727" i="3"/>
  <c r="AH727" i="3" s="1"/>
  <c r="D5" i="8"/>
  <c r="AQ112" i="20"/>
  <c r="FE727" i="3"/>
  <c r="G105" i="4"/>
  <c r="D105" i="1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T735" i="3"/>
  <c r="BU735" i="3" s="1"/>
  <c r="BT743" i="3"/>
  <c r="BU743" i="3" s="1"/>
  <c r="BT751" i="3"/>
  <c r="BU751" i="3" s="1"/>
  <c r="BT760" i="3"/>
  <c r="BU760" i="3" s="1"/>
  <c r="BT728" i="3"/>
  <c r="BT736" i="3"/>
  <c r="BU736" i="3" s="1"/>
  <c r="BT744" i="3"/>
  <c r="BU744" i="3" s="1"/>
  <c r="BT752" i="3"/>
  <c r="BU752" i="3" s="1"/>
  <c r="BT726" i="3"/>
  <c r="BT729" i="3"/>
  <c r="BT737" i="3"/>
  <c r="BU737" i="3" s="1"/>
  <c r="BT745" i="3"/>
  <c r="BU745" i="3" s="1"/>
  <c r="BT753" i="3"/>
  <c r="BU753" i="3" s="1"/>
  <c r="BT739" i="3"/>
  <c r="BU739" i="3" s="1"/>
  <c r="BT747" i="3"/>
  <c r="BU747" i="3" s="1"/>
  <c r="BT756" i="3"/>
  <c r="BU756" i="3" s="1"/>
  <c r="BT742" i="3"/>
  <c r="BU742" i="3" s="1"/>
  <c r="BT758" i="3"/>
  <c r="BU758" i="3" s="1"/>
  <c r="BT730" i="3"/>
  <c r="BT738" i="3"/>
  <c r="BU738" i="3" s="1"/>
  <c r="BT746" i="3"/>
  <c r="BU746" i="3" s="1"/>
  <c r="BT754" i="3"/>
  <c r="BU754" i="3" s="1"/>
  <c r="BT731" i="3"/>
  <c r="BT755" i="3"/>
  <c r="BU755" i="3" s="1"/>
  <c r="BT732" i="3"/>
  <c r="BT740" i="3"/>
  <c r="BU740" i="3" s="1"/>
  <c r="BT748" i="3"/>
  <c r="BU748" i="3" s="1"/>
  <c r="BT734" i="3"/>
  <c r="BU734" i="3" s="1"/>
  <c r="BT750" i="3"/>
  <c r="BU750" i="3" s="1"/>
  <c r="BT733" i="3"/>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G22" i="7"/>
  <c r="G35" i="7" s="1"/>
  <c r="EC653" i="3"/>
  <c r="EC655" i="3"/>
  <c r="EC661" i="3"/>
  <c r="EC657" i="3"/>
  <c r="DX654" i="3"/>
  <c r="EC646" i="3"/>
  <c r="EC658" i="3"/>
  <c r="DU786" i="3"/>
  <c r="EC665" i="3"/>
  <c r="EC664" i="3"/>
  <c r="EC651" i="3"/>
  <c r="EC676" i="3"/>
  <c r="EC677" i="3"/>
  <c r="EC654" i="3"/>
  <c r="EC643" i="3"/>
  <c r="EC659" i="3"/>
  <c r="EC648" i="3"/>
  <c r="EC652" i="3"/>
  <c r="EC663" i="3"/>
  <c r="AW117" i="20"/>
  <c r="AW115" i="20"/>
  <c r="EM644" i="3"/>
  <c r="EC662" i="3"/>
  <c r="EC649" i="3"/>
  <c r="I8" i="7"/>
  <c r="I9" i="7" s="1"/>
  <c r="T18" i="21"/>
  <c r="G60" i="21"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59" i="3"/>
  <c r="EH643" i="3"/>
  <c r="EH655" i="3"/>
  <c r="EH653" i="3"/>
  <c r="EH657" i="3"/>
  <c r="EH658" i="3"/>
  <c r="EH677"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62" i="3"/>
  <c r="DI763" i="3"/>
  <c r="EM677" i="3"/>
  <c r="EM645" i="3"/>
  <c r="EM665" i="3"/>
  <c r="EM663" i="3"/>
  <c r="EM676" i="3"/>
  <c r="EM653" i="3"/>
  <c r="EM655" i="3"/>
  <c r="EM647" i="3"/>
  <c r="EM657" i="3"/>
  <c r="EM664" i="3"/>
  <c r="EM652" i="3"/>
  <c r="EM646" i="3"/>
  <c r="EM656" i="3"/>
  <c r="EH645" i="3"/>
  <c r="ET807" i="3"/>
  <c r="EM643" i="3"/>
  <c r="EM651" i="3"/>
  <c r="E6" i="7"/>
  <c r="K15" i="7"/>
  <c r="I22" i="7"/>
  <c r="I35" i="7" s="1"/>
  <c r="E29" i="21"/>
  <c r="G24" i="21"/>
  <c r="O761" i="3" l="1"/>
  <c r="Y809" i="3" s="1"/>
  <c r="AQ116" i="20"/>
  <c r="D9" i="8"/>
  <c r="FO731" i="3"/>
  <c r="EM648" i="3" s="1"/>
  <c r="X731" i="3"/>
  <c r="AH731" i="3" s="1"/>
  <c r="BU731" i="3" s="1"/>
  <c r="AQ118" i="20"/>
  <c r="D11" i="8"/>
  <c r="FO733" i="3"/>
  <c r="EM650" i="3" s="1"/>
  <c r="AQ114" i="20"/>
  <c r="D7" i="8"/>
  <c r="I7" i="8" s="1"/>
  <c r="FJ729" i="3"/>
  <c r="EH646" i="3" s="1"/>
  <c r="X729" i="3"/>
  <c r="AH729" i="3" s="1"/>
  <c r="BU729" i="3" s="1"/>
  <c r="BU733" i="3"/>
  <c r="BU732" i="3"/>
  <c r="EM649" i="3"/>
  <c r="BU730" i="3"/>
  <c r="EH647" i="3"/>
  <c r="BU727" i="3"/>
  <c r="BU728" i="3"/>
  <c r="BU726" i="3"/>
  <c r="D40" i="8"/>
  <c r="Y808" i="3"/>
  <c r="FE761" i="3"/>
  <c r="EC644" i="3"/>
  <c r="EC678" i="3" s="1"/>
  <c r="J129" i="20" s="1"/>
  <c r="J132" i="20" s="1"/>
  <c r="J135" i="20" s="1"/>
  <c r="O20" i="21"/>
  <c r="P20" i="21" s="1" a="1"/>
  <c r="P20" i="21" s="1"/>
  <c r="S20" i="21" s="1"/>
  <c r="O27" i="21"/>
  <c r="P27" i="21" s="1" a="1"/>
  <c r="P27" i="21" s="1"/>
  <c r="S27" i="21" s="1"/>
  <c r="O30" i="21"/>
  <c r="P30" i="21" s="1" a="1"/>
  <c r="P30" i="21" s="1"/>
  <c r="S30" i="21" s="1"/>
  <c r="O29" i="21"/>
  <c r="P29" i="21" s="1" a="1"/>
  <c r="P29" i="21" s="1"/>
  <c r="S29" i="21" s="1"/>
  <c r="O28" i="21"/>
  <c r="P28" i="21" s="1" a="1"/>
  <c r="P28" i="21" s="1"/>
  <c r="S28" i="21" s="1"/>
  <c r="O24" i="21"/>
  <c r="P24" i="21" s="1" a="1"/>
  <c r="P24" i="21" s="1"/>
  <c r="S24" i="21" s="1"/>
  <c r="O26" i="21"/>
  <c r="P26" i="21" s="1" a="1"/>
  <c r="P26" i="21" s="1"/>
  <c r="S26" i="21" s="1"/>
  <c r="O25" i="21"/>
  <c r="P25" i="21" s="1" a="1"/>
  <c r="P25" i="21" s="1"/>
  <c r="S25"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31" i="21" a="1"/>
  <c r="P31" i="21" s="1"/>
  <c r="S31" i="21" s="1"/>
  <c r="DU763" i="3"/>
  <c r="O764" i="3" s="1"/>
  <c r="BG761" i="3"/>
  <c r="E35" i="7"/>
  <c r="BT761" i="3"/>
  <c r="AX708" i="20"/>
  <c r="AO708" i="20" s="1"/>
  <c r="BH726" i="3"/>
  <c r="DX678" i="3"/>
  <c r="E129" i="20" s="1"/>
  <c r="E132" i="20" s="1"/>
  <c r="E135" i="20" s="1"/>
  <c r="AW121" i="20"/>
  <c r="K8" i="7"/>
  <c r="M8" i="7" s="1"/>
  <c r="D98" i="11"/>
  <c r="C106" i="11"/>
  <c r="D106" i="11" s="1"/>
  <c r="EW678" i="3"/>
  <c r="AD129" i="20" s="1"/>
  <c r="AD132" i="20" s="1"/>
  <c r="AD135" i="20" s="1"/>
  <c r="ER678" i="3"/>
  <c r="Y129" i="20" s="1"/>
  <c r="Y132" i="20" s="1"/>
  <c r="Y135" i="20" s="1"/>
  <c r="AJ995" i="3"/>
  <c r="AB999" i="3"/>
  <c r="AJ999" i="3" s="1"/>
  <c r="G6" i="7"/>
  <c r="E7" i="7"/>
  <c r="M15" i="7"/>
  <c r="K22" i="7"/>
  <c r="K35" i="7" s="1"/>
  <c r="F27" i="21"/>
  <c r="G52" i="21"/>
  <c r="G54" i="21" s="1"/>
  <c r="G56" i="21" s="1"/>
  <c r="E12" i="21" s="1"/>
  <c r="F28" i="21"/>
  <c r="G28" i="21" s="1"/>
  <c r="G61" i="21"/>
  <c r="G63" i="21" s="1"/>
  <c r="G65" i="21" s="1"/>
  <c r="E13" i="21" s="1"/>
  <c r="EM678" i="3" l="1"/>
  <c r="T129" i="20" s="1"/>
  <c r="T132" i="20" s="1"/>
  <c r="T135" i="20" s="1"/>
  <c r="AC463" i="3"/>
  <c r="BE44" i="3" s="1"/>
  <c r="AM566" i="3"/>
  <c r="AM574" i="3" s="1"/>
  <c r="EH678" i="3"/>
  <c r="O129" i="20" s="1"/>
  <c r="O132" i="20" s="1"/>
  <c r="O135" i="20" s="1"/>
  <c r="E137" i="20" s="1"/>
  <c r="E138" i="20" s="1"/>
  <c r="AK142" i="20" s="1"/>
  <c r="FJ761" i="3"/>
  <c r="FO761" i="3"/>
  <c r="BU761" i="3"/>
  <c r="AH761" i="3" s="1"/>
  <c r="BE43" i="3" s="1"/>
  <c r="E4" i="7"/>
  <c r="Z826" i="3"/>
  <c r="AB265" i="20"/>
  <c r="AG267" i="20" s="1"/>
  <c r="AG269" i="20" s="1"/>
  <c r="AK272" i="20" s="1"/>
  <c r="T834" i="20" s="1"/>
  <c r="BE77" i="3" s="1"/>
  <c r="N180" i="24"/>
  <c r="S107" i="4"/>
  <c r="AE707" i="3" s="1"/>
  <c r="I9" i="21"/>
  <c r="AK190" i="20"/>
  <c r="T827" i="20"/>
  <c r="AF827" i="20" s="1"/>
  <c r="AB47" i="15"/>
  <c r="AB49" i="15" s="1"/>
  <c r="BE22" i="3"/>
  <c r="E105" i="13"/>
  <c r="BA1065" i="3"/>
  <c r="AZ1060" i="3"/>
  <c r="H105" i="13"/>
  <c r="T107" i="4"/>
  <c r="H107" i="13" s="1"/>
  <c r="Q58" i="7"/>
  <c r="S53" i="7"/>
  <c r="G45" i="21"/>
  <c r="G47" i="21" s="1"/>
  <c r="E10" i="21" s="1"/>
  <c r="E11" i="21"/>
  <c r="AP718" i="20"/>
  <c r="AP719" i="20"/>
  <c r="K9" i="7"/>
  <c r="AJ1001" i="3"/>
  <c r="AB1000" i="3"/>
  <c r="DU810" i="3"/>
  <c r="U386" i="20" s="1"/>
  <c r="P430" i="3"/>
  <c r="I6" i="7"/>
  <c r="G7" i="7"/>
  <c r="M22" i="7"/>
  <c r="M35" i="7" s="1"/>
  <c r="O15" i="7"/>
  <c r="M9" i="7"/>
  <c r="O8" i="7"/>
  <c r="G27" i="21"/>
  <c r="F26" i="21"/>
  <c r="AD11" i="15" l="1"/>
  <c r="AD23" i="15" s="1"/>
  <c r="AD26" i="15" s="1"/>
  <c r="AD28" i="15" s="1"/>
  <c r="AI11" i="15"/>
  <c r="AI23" i="15" s="1"/>
  <c r="AI26" i="15" s="1"/>
  <c r="AI28" i="15" s="1"/>
  <c r="G4" i="7"/>
  <c r="E5" i="7"/>
  <c r="E11" i="7" s="1"/>
  <c r="E37" i="7" s="1"/>
  <c r="AC465" i="3"/>
  <c r="AJ1038" i="3"/>
  <c r="AJ1045" i="3"/>
  <c r="I15" i="21" s="1"/>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6" i="7"/>
  <c r="I7" i="7"/>
  <c r="G26" i="21"/>
  <c r="F29" i="21"/>
  <c r="G29" i="21"/>
  <c r="O22" i="7"/>
  <c r="O35" i="7" s="1"/>
  <c r="Q15" i="7"/>
  <c r="O9" i="7"/>
  <c r="Q8" i="7"/>
  <c r="T11" i="15" l="1"/>
  <c r="T23" i="15" s="1"/>
  <c r="T26" i="15" s="1"/>
  <c r="T28" i="15" s="1"/>
  <c r="Y11" i="15"/>
  <c r="Y23" i="15" s="1"/>
  <c r="Y26" i="15" s="1"/>
  <c r="Y28" i="15" s="1"/>
  <c r="I4" i="7"/>
  <c r="G5" i="7"/>
  <c r="G11" i="7" s="1"/>
  <c r="G37" i="7" s="1"/>
  <c r="E49" i="7"/>
  <c r="E45" i="7"/>
  <c r="E47" i="7" s="1"/>
  <c r="BE74" i="3"/>
  <c r="AP566" i="20"/>
  <c r="U58" i="7"/>
  <c r="W53" i="7"/>
  <c r="AJ1062" i="3"/>
  <c r="AA1066" i="3" s="1"/>
  <c r="G1067" i="3" s="1"/>
  <c r="AP565" i="20"/>
  <c r="Y69" i="15"/>
  <c r="M6" i="7"/>
  <c r="K7" i="7"/>
  <c r="Q22" i="7"/>
  <c r="Q35" i="7" s="1"/>
  <c r="S15" i="7"/>
  <c r="G93" i="21"/>
  <c r="G31" i="21"/>
  <c r="G33" i="21" s="1"/>
  <c r="E9" i="21" s="1"/>
  <c r="G102" i="21"/>
  <c r="G104" i="21" s="1"/>
  <c r="E16" i="21" s="1"/>
  <c r="G125" i="21"/>
  <c r="G110" i="21"/>
  <c r="Q9" i="7"/>
  <c r="S8" i="7"/>
  <c r="T29" i="15" l="1"/>
  <c r="E48" i="7"/>
  <c r="E60" i="7"/>
  <c r="K4" i="7"/>
  <c r="I5" i="7"/>
  <c r="I11" i="7" s="1"/>
  <c r="I37" i="7" s="1"/>
  <c r="G49" i="7"/>
  <c r="G45" i="7"/>
  <c r="AP567" i="20"/>
  <c r="G94" i="21"/>
  <c r="E15" i="21" s="1"/>
  <c r="W58" i="7"/>
  <c r="Y53" i="7"/>
  <c r="T24" i="15"/>
  <c r="AP570" i="20"/>
  <c r="AP569" i="20" s="1"/>
  <c r="M7" i="7"/>
  <c r="O6" i="7"/>
  <c r="G115" i="21"/>
  <c r="G127" i="21"/>
  <c r="G111" i="21"/>
  <c r="S22" i="7"/>
  <c r="S35" i="7" s="1"/>
  <c r="U15" i="7"/>
  <c r="U8" i="7"/>
  <c r="S9" i="7"/>
  <c r="E62" i="7" l="1"/>
  <c r="E66" i="7"/>
  <c r="E67" i="7"/>
  <c r="I49" i="7"/>
  <c r="I45" i="7"/>
  <c r="K5" i="7"/>
  <c r="K11" i="7" s="1"/>
  <c r="K37" i="7" s="1"/>
  <c r="M4" i="7"/>
  <c r="G47" i="7"/>
  <c r="G48" i="7"/>
  <c r="G60" i="7"/>
  <c r="G62" i="7" s="1"/>
  <c r="AP572" i="20"/>
  <c r="AF565" i="20" s="1"/>
  <c r="AF566" i="20" s="1"/>
  <c r="AK572" i="20" s="1"/>
  <c r="T840" i="20" s="1"/>
  <c r="AF840" i="20" s="1"/>
  <c r="BE81" i="3" s="1"/>
  <c r="Y38" i="15"/>
  <c r="Y40" i="15" s="1"/>
  <c r="AA53" i="7"/>
  <c r="Y58" i="7"/>
  <c r="AD38" i="15"/>
  <c r="AD40" i="15" s="1"/>
  <c r="G129" i="21"/>
  <c r="E17" i="21" s="1"/>
  <c r="E14" i="21" s="1"/>
  <c r="E18" i="21" s="1"/>
  <c r="O7" i="7"/>
  <c r="Q6" i="7"/>
  <c r="U22" i="7"/>
  <c r="U35" i="7" s="1"/>
  <c r="W15" i="7"/>
  <c r="U9" i="7"/>
  <c r="W8" i="7"/>
  <c r="E70" i="7" l="1"/>
  <c r="E72" i="7" s="1"/>
  <c r="I47" i="7"/>
  <c r="I60" i="7"/>
  <c r="I62" i="7" s="1"/>
  <c r="I48" i="7"/>
  <c r="O4" i="7"/>
  <c r="M5" i="7"/>
  <c r="M11" i="7" s="1"/>
  <c r="M37" i="7" s="1"/>
  <c r="G66" i="7"/>
  <c r="G67" i="7"/>
  <c r="K45" i="7"/>
  <c r="K49" i="7"/>
  <c r="Y41" i="15"/>
  <c r="AC53" i="7"/>
  <c r="AA58" i="7"/>
  <c r="Q7" i="7"/>
  <c r="S6" i="7"/>
  <c r="W22" i="7"/>
  <c r="W35" i="7" s="1"/>
  <c r="Y15" i="7"/>
  <c r="W9" i="7"/>
  <c r="Y8" i="7"/>
  <c r="AB50" i="15" l="1"/>
  <c r="G70" i="7"/>
  <c r="G72" i="7" s="1"/>
  <c r="I66" i="7"/>
  <c r="I67" i="7"/>
  <c r="M49" i="7"/>
  <c r="M45" i="7"/>
  <c r="Q4" i="7"/>
  <c r="O5" i="7"/>
  <c r="O11" i="7" s="1"/>
  <c r="O37" i="7" s="1"/>
  <c r="K48" i="7"/>
  <c r="K47" i="7"/>
  <c r="K60" i="7"/>
  <c r="K62" i="7" s="1"/>
  <c r="AE53" i="7"/>
  <c r="AC58" i="7"/>
  <c r="S7" i="7"/>
  <c r="U6" i="7"/>
  <c r="Y22" i="7"/>
  <c r="Y35" i="7" s="1"/>
  <c r="AA15" i="7"/>
  <c r="Y9" i="7"/>
  <c r="AA8" i="7"/>
  <c r="BE62" i="3" l="1"/>
  <c r="AB54" i="15"/>
  <c r="AB55" i="15" s="1"/>
  <c r="AB56" i="15" s="1"/>
  <c r="M60" i="7"/>
  <c r="M62" i="7" s="1"/>
  <c r="M47" i="7"/>
  <c r="M48" i="7"/>
  <c r="O49" i="7"/>
  <c r="O45" i="7"/>
  <c r="Q5" i="7"/>
  <c r="Q11" i="7" s="1"/>
  <c r="Q37" i="7" s="1"/>
  <c r="S4" i="7"/>
  <c r="K67" i="7"/>
  <c r="K66" i="7"/>
  <c r="I70" i="7"/>
  <c r="I72" i="7" s="1"/>
  <c r="AG53" i="7"/>
  <c r="AG58" i="7" s="1"/>
  <c r="AE58" i="7"/>
  <c r="U7" i="7"/>
  <c r="W6" i="7"/>
  <c r="AC15" i="7"/>
  <c r="AA22" i="7"/>
  <c r="AA35" i="7" s="1"/>
  <c r="AC8" i="7"/>
  <c r="AA9" i="7"/>
  <c r="M26" i="3" l="1"/>
  <c r="AB57" i="15"/>
  <c r="AB59" i="15" s="1"/>
  <c r="AB77" i="15" s="1"/>
  <c r="AB78" i="15" s="1"/>
  <c r="I10" i="21" s="1"/>
  <c r="K70" i="7"/>
  <c r="K72" i="7" s="1"/>
  <c r="M66" i="7"/>
  <c r="M67" i="7"/>
  <c r="O60" i="7"/>
  <c r="O62" i="7" s="1"/>
  <c r="O48" i="7"/>
  <c r="O47" i="7"/>
  <c r="Q45" i="7"/>
  <c r="Q49" i="7"/>
  <c r="S5" i="7"/>
  <c r="S11" i="7" s="1"/>
  <c r="S37" i="7" s="1"/>
  <c r="U4" i="7"/>
  <c r="Y6" i="7"/>
  <c r="W7" i="7"/>
  <c r="AE15" i="7"/>
  <c r="AC22" i="7"/>
  <c r="AC35" i="7" s="1"/>
  <c r="AC9" i="7"/>
  <c r="AE8" i="7"/>
  <c r="AB79" i="15" l="1"/>
  <c r="AB81" i="15" s="1"/>
  <c r="J82" i="15" s="1"/>
  <c r="P204" i="3"/>
  <c r="BE19" i="3"/>
  <c r="O66" i="7"/>
  <c r="O67" i="7"/>
  <c r="Q47" i="7"/>
  <c r="Q48" i="7"/>
  <c r="Q60" i="7"/>
  <c r="Q62" i="7" s="1"/>
  <c r="S45" i="7"/>
  <c r="S49" i="7"/>
  <c r="W4" i="7"/>
  <c r="U5" i="7"/>
  <c r="U11" i="7" s="1"/>
  <c r="U37" i="7" s="1"/>
  <c r="M70" i="7"/>
  <c r="M72" i="7" s="1"/>
  <c r="M27" i="3"/>
  <c r="I11" i="21"/>
  <c r="I18" i="21" s="1"/>
  <c r="Y7" i="7"/>
  <c r="AA6" i="7"/>
  <c r="AE22" i="7"/>
  <c r="AE35" i="7" s="1"/>
  <c r="AG15" i="7"/>
  <c r="AG22" i="7" s="1"/>
  <c r="AG35" i="7" s="1"/>
  <c r="AE9" i="7"/>
  <c r="AG8" i="7"/>
  <c r="AG9" i="7" s="1"/>
  <c r="Q67" i="7" l="1"/>
  <c r="Q66" i="7"/>
  <c r="S60" i="7"/>
  <c r="S62" i="7" s="1"/>
  <c r="S47" i="7"/>
  <c r="S48" i="7"/>
  <c r="U49" i="7"/>
  <c r="U45" i="7"/>
  <c r="Y4" i="7"/>
  <c r="W5" i="7"/>
  <c r="W11" i="7" s="1"/>
  <c r="W37" i="7" s="1"/>
  <c r="O70" i="7"/>
  <c r="O72" i="7" s="1"/>
  <c r="BE20" i="3"/>
  <c r="H4" i="21"/>
  <c r="P205" i="3"/>
  <c r="AC6" i="7"/>
  <c r="AA7" i="7"/>
  <c r="Q70" i="7" l="1"/>
  <c r="Q72" i="7" s="1"/>
  <c r="S66" i="7"/>
  <c r="S67" i="7"/>
  <c r="U47" i="7"/>
  <c r="U60" i="7"/>
  <c r="U62" i="7" s="1"/>
  <c r="U48" i="7"/>
  <c r="W49" i="7"/>
  <c r="W45" i="7"/>
  <c r="Y5" i="7"/>
  <c r="Y11" i="7" s="1"/>
  <c r="Y37" i="7" s="1"/>
  <c r="AA4" i="7"/>
  <c r="AE6" i="7"/>
  <c r="AC7" i="7"/>
  <c r="U67" i="7" l="1"/>
  <c r="U66" i="7"/>
  <c r="W48" i="7"/>
  <c r="W47" i="7"/>
  <c r="W60" i="7"/>
  <c r="W62" i="7" s="1"/>
  <c r="Y45" i="7"/>
  <c r="Y49" i="7"/>
  <c r="AC4" i="7"/>
  <c r="AA5" i="7"/>
  <c r="AA11" i="7" s="1"/>
  <c r="AA37" i="7" s="1"/>
  <c r="S70" i="7"/>
  <c r="S72" i="7" s="1"/>
  <c r="AE7" i="7"/>
  <c r="AG6" i="7"/>
  <c r="U70" i="7" l="1"/>
  <c r="U72" i="7" s="1"/>
  <c r="W66" i="7"/>
  <c r="W67" i="7"/>
  <c r="Y48" i="7"/>
  <c r="Y60" i="7"/>
  <c r="Y62" i="7" s="1"/>
  <c r="Y47" i="7"/>
  <c r="AA49" i="7"/>
  <c r="AA45" i="7"/>
  <c r="AE4" i="7"/>
  <c r="AC5" i="7"/>
  <c r="AC11" i="7" s="1"/>
  <c r="AC37" i="7" s="1"/>
  <c r="AG7" i="7"/>
  <c r="W70" i="7" l="1"/>
  <c r="W72" i="7" s="1"/>
  <c r="Y67" i="7"/>
  <c r="Y66" i="7"/>
  <c r="AA48" i="7"/>
  <c r="AA47" i="7"/>
  <c r="AA60" i="7"/>
  <c r="AA62" i="7" s="1"/>
  <c r="AC45" i="7"/>
  <c r="AC49" i="7"/>
  <c r="AG4" i="7"/>
  <c r="AE5" i="7"/>
  <c r="AE11" i="7" s="1"/>
  <c r="AE37" i="7" s="1"/>
  <c r="Y70" i="7" l="1"/>
  <c r="Y72" i="7" s="1"/>
  <c r="AA67" i="7"/>
  <c r="AA66" i="7"/>
  <c r="AC48" i="7"/>
  <c r="AC47" i="7"/>
  <c r="AC60" i="7"/>
  <c r="AC62" i="7" s="1"/>
  <c r="AE45" i="7"/>
  <c r="AE49" i="7"/>
  <c r="AG5" i="7"/>
  <c r="AG11" i="7" s="1"/>
  <c r="AG37" i="7" s="1"/>
  <c r="AA70" i="7" l="1"/>
  <c r="AA72" i="7" s="1"/>
  <c r="AC67" i="7"/>
  <c r="AC66" i="7"/>
  <c r="AE48" i="7"/>
  <c r="AE60" i="7"/>
  <c r="AE62" i="7" s="1"/>
  <c r="AE47" i="7"/>
  <c r="AG49" i="7"/>
  <c r="AG45" i="7"/>
  <c r="AE67" i="7" l="1"/>
  <c r="AE66" i="7"/>
  <c r="AG47" i="7"/>
  <c r="AG60" i="7"/>
  <c r="AG62" i="7" s="1"/>
  <c r="AG48" i="7"/>
  <c r="AC70" i="7"/>
  <c r="AC72" i="7" s="1"/>
  <c r="BH761" i="3"/>
  <c r="AC761" i="3" s="1"/>
  <c r="AE70" i="7" l="1"/>
  <c r="AE72" i="7" s="1"/>
  <c r="AG67" i="7"/>
  <c r="AG66" i="7"/>
  <c r="BE42" i="3"/>
  <c r="E92" i="20"/>
  <c r="E93" i="20" s="1"/>
  <c r="E94" i="20" s="1"/>
  <c r="E102" i="20"/>
  <c r="E105" i="20" s="1"/>
  <c r="AP105" i="20" s="1"/>
  <c r="AK108" i="20" s="1"/>
  <c r="T828" i="20" s="1"/>
  <c r="AF828" i="20" s="1"/>
  <c r="AG70" i="7" l="1"/>
  <c r="AG72" i="7" s="1"/>
  <c r="AF843" i="20"/>
  <c r="BE70" i="3" s="1"/>
  <c r="BE73" i="3"/>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5FB10E0C-C21E-45B5-9A79-3634B89B7A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<sst xmlns="http://schemas.openxmlformats.org/spreadsheetml/2006/main" count="5102" uniqueCount="2752">
  <si>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</si>
  <si>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</si>
  <si>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</si>
  <si>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</si>
  <si>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</si>
  <si>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</si>
  <si>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</si>
  <si>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</si>
  <si>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</si>
  <si>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</si>
  <si>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</si>
  <si>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</si>
  <si>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</si>
  <si>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</si>
  <si>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</si>
  <si>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</si>
  <si>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</si>
  <si>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</si>
  <si>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</si>
  <si>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</si>
  <si>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</si>
  <si>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</si>
  <si>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</si>
  <si>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</si>
  <si>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</si>
  <si>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</si>
  <si>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</si>
  <si>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</si>
  <si>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</si>
  <si>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</si>
  <si>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</si>
  <si>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</si>
  <si>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</si>
  <si>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</si>
  <si>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</si>
  <si>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</si>
  <si>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</si>
  <si>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</si>
  <si>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</si>
  <si>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</si>
  <si>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</si>
  <si>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</si>
  <si>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</si>
  <si>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</si>
  <si>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</si>
  <si>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</si>
  <si>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</si>
  <si>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</si>
  <si>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</si>
  <si>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</si>
  <si>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</si>
  <si>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</si>
  <si>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</si>
  <si>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</si>
  <si>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</si>
  <si>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</si>
  <si>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</si>
  <si>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</si>
  <si>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</si>
  <si>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</si>
  <si>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</si>
  <si>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</si>
  <si>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</si>
  <si>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</si>
  <si>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</si>
  <si>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</si>
  <si>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</si>
  <si>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</si>
  <si>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</si>
  <si>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</si>
  <si>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</si>
  <si>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</si>
  <si>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</si>
  <si>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</si>
  <si>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</si>
  <si>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</si>
  <si>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</si>
  <si>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</si>
  <si>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</si>
  <si>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</si>
  <si>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</si>
  <si>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</si>
  <si>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</si>
  <si>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</si>
  <si>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</si>
  <si>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</si>
  <si>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</si>
  <si>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</si>
  <si>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</si>
  <si>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</si>
  <si>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</si>
  <si>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</si>
  <si>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</si>
  <si>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</si>
  <si>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</si>
  <si>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</si>
  <si>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</si>
  <si>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</si>
  <si>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</si>
  <si>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</si>
  <si>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</si>
  <si>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</si>
  <si>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</si>
  <si>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</si>
  <si>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</si>
  <si>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</si>
  <si>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</si>
  <si>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</si>
  <si>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</si>
  <si>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</si>
  <si>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</si>
  <si>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</si>
  <si>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</si>
  <si>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</si>
  <si>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</si>
  <si>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</si>
  <si>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</si>
  <si>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</si>
  <si>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</si>
  <si>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</si>
  <si>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</si>
  <si>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</si>
  <si>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</si>
  <si>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</si>
  <si>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</si>
  <si>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</si>
  <si>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</si>
  <si>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</si>
  <si>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</si>
  <si>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</si>
  <si>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</si>
  <si>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</si>
  <si>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</si>
  <si>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</si>
  <si>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</si>
  <si>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</si>
  <si>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</si>
  <si>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</si>
  <si>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</si>
  <si>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</si>
  <si>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</si>
  <si>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</si>
  <si>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</si>
  <si>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</si>
  <si>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</si>
  <si>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</si>
  <si>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</si>
  <si>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</si>
  <si>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</si>
  <si>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</si>
  <si>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</si>
  <si>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</si>
  <si>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</si>
  <si>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</si>
  <si>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</si>
  <si>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</si>
  <si>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</si>
  <si>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</si>
  <si>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</si>
  <si>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</si>
  <si>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</si>
  <si>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</si>
  <si>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</si>
  <si>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</si>
  <si>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</si>
  <si>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</si>
  <si>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</si>
  <si>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</si>
  <si>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</si>
  <si>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</si>
  <si>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</si>
  <si>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</si>
  <si>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</si>
  <si>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</si>
  <si>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</si>
  <si>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</si>
  <si>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</si>
  <si>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</si>
  <si>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</si>
  <si>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</si>
  <si>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</si>
  <si>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</si>
  <si>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</si>
  <si>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</si>
  <si>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</si>
  <si>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</si>
  <si>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</si>
  <si>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</si>
  <si>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</si>
  <si>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</si>
  <si>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</si>
  <si>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</si>
  <si>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</si>
  <si>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</si>
  <si>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</si>
  <si>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</si>
  <si>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</si>
  <si>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</si>
  <si>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</si>
  <si>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</si>
  <si>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</si>
  <si>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</si>
  <si>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</si>
  <si>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</si>
  <si>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</si>
  <si>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</si>
  <si>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</si>
  <si>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</si>
  <si>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</si>
  <si>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</si>
  <si>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</si>
  <si>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</si>
  <si>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</si>
  <si>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</si>
  <si>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</si>
  <si>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</si>
  <si>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</si>
  <si>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</si>
  <si>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</si>
  <si>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</si>
  <si>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</si>
  <si>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</si>
  <si>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</si>
  <si>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</si>
  <si>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</si>
  <si>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</si>
  <si>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</si>
  <si>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</si>
  <si>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</si>
  <si>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</si>
  <si>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</si>
  <si>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</si>
  <si>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</si>
  <si>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</si>
  <si>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</si>
  <si>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</si>
  <si>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</si>
  <si>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</si>
  <si>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</si>
  <si>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</si>
  <si>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</si>
  <si>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</si>
  <si>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</si>
  <si>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</si>
  <si>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</si>
  <si>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</si>
  <si>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</si>
  <si>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</si>
  <si>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</si>
  <si>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</si>
  <si>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</si>
  <si>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</si>
  <si>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</si>
  <si>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</si>
  <si>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</si>
  <si>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</si>
  <si>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</si>
  <si>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</si>
  <si>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</si>
  <si>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</si>
  <si>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</si>
  <si>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</si>
  <si>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</si>
  <si>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</si>
  <si>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</si>
  <si>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</si>
  <si>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</si>
  <si>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</si>
  <si>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</si>
  <si>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</si>
  <si>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</si>
  <si>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</si>
  <si>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</si>
  <si>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</si>
  <si>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</si>
  <si>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</si>
  <si>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</si>
  <si>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</si>
  <si>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</si>
  <si>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</si>
  <si>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</si>
  <si>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</si>
  <si>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</si>
  <si>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</si>
  <si>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</si>
  <si>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</si>
  <si>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</si>
  <si>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</si>
  <si>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</si>
  <si>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</si>
  <si>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</si>
  <si>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</si>
  <si>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</si>
  <si>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</si>
  <si>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</si>
  <si>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</si>
  <si>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</si>
  <si>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</si>
  <si>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</si>
  <si>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</si>
  <si>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</si>
  <si>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</si>
  <si>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</si>
  <si>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</si>
  <si>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</si>
  <si>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</si>
  <si>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</si>
  <si>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</si>
  <si>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</si>
  <si>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</si>
  <si>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</si>
  <si>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</si>
  <si>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</si>
  <si>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</si>
  <si>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</si>
  <si>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</si>
  <si>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</si>
  <si>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</si>
  <si>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</si>
  <si>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</si>
  <si>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</si>
  <si>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</si>
  <si>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</si>
  <si>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</si>
  <si>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</si>
  <si>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</si>
  <si>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</si>
  <si>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</si>
  <si>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</si>
  <si>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</si>
  <si>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</si>
  <si>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</si>
  <si>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</si>
  <si>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</si>
  <si>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</si>
  <si>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</si>
  <si>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</si>
  <si>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</si>
  <si>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</si>
  <si>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</si>
  <si>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</si>
  <si>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</si>
  <si>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</si>
  <si>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</si>
  <si>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</si>
  <si>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</si>
  <si>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</si>
  <si>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</si>
  <si>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</si>
  <si>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</si>
  <si>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</si>
  <si>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</si>
  <si>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</si>
  <si>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</si>
  <si>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</si>
  <si>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</si>
  <si>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</si>
  <si>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</si>
  <si>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</si>
  <si>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</si>
  <si>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</si>
  <si>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</si>
  <si>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</si>
  <si>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</si>
  <si>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</si>
  <si>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</si>
  <si>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</si>
  <si>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</si>
  <si>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</si>
  <si>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</si>
  <si>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</si>
  <si>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</si>
  <si>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</si>
  <si>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</si>
  <si>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</si>
  <si>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</si>
  <si>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</si>
  <si>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</si>
  <si>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</si>
  <si>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</si>
  <si>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</si>
  <si>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</si>
  <si>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</si>
  <si>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</si>
  <si>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</si>
  <si>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</si>
  <si>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</si>
  <si>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</si>
  <si>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</si>
  <si>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</si>
  <si>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</si>
  <si>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</si>
  <si>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</si>
  <si>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</si>
  <si>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</si>
  <si>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</si>
  <si>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</si>
  <si>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</si>
  <si>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</si>
  <si>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</si>
  <si>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</si>
  <si>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</si>
  <si>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</si>
  <si>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</si>
  <si>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</si>
  <si>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</si>
  <si>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</si>
  <si>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</si>
  <si>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</si>
  <si>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</si>
  <si>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</si>
  <si>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</si>
  <si>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</si>
  <si>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</si>
  <si>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</si>
  <si>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</si>
  <si>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</si>
  <si>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</si>
  <si>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</si>
  <si>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</si>
  <si>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</si>
  <si>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</si>
  <si>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</si>
  <si>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</si>
  <si>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</si>
  <si>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</si>
  <si>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</si>
  <si>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</si>
  <si>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</si>
  <si>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</si>
  <si>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</si>
  <si>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</si>
  <si>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</si>
  <si>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</si>
  <si>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</si>
  <si>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</si>
  <si>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</si>
  <si>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</si>
  <si>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</si>
  <si>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</si>
  <si>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</si>
  <si>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</si>
  <si>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</si>
  <si>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</si>
  <si>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</si>
  <si>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</si>
  <si>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</si>
  <si>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</si>
  <si>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</si>
  <si>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</si>
  <si>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</si>
  <si>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</si>
  <si>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</si>
  <si>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</si>
  <si>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</si>
  <si>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</si>
  <si>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</si>
  <si>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</si>
  <si>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</si>
  <si>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</si>
  <si>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</si>
  <si>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</si>
  <si>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</si>
  <si>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</si>
  <si>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</si>
  <si>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</si>
  <si>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</si>
  <si>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</si>
  <si>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</si>
  <si>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</si>
  <si>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</si>
  <si>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</si>
  <si>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</si>
  <si>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</si>
  <si>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</si>
  <si>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</si>
  <si>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</si>
  <si>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</si>
  <si>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</si>
  <si>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</si>
  <si>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</si>
  <si>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</si>
  <si>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</si>
  <si>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</si>
  <si>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</si>
  <si>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</si>
  <si>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</si>
  <si>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</si>
  <si>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</si>
  <si>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</si>
  <si>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</si>
  <si>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</si>
  <si>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</si>
  <si>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</si>
  <si>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</si>
  <si>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</si>
  <si>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</si>
  <si>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</si>
  <si>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</si>
  <si>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</si>
  <si>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</si>
  <si>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</si>
  <si>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</si>
  <si>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</si>
  <si>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</si>
  <si>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</si>
  <si>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</si>
  <si>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</si>
  <si>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</si>
  <si>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</si>
  <si>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</si>
  <si>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</si>
  <si>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</si>
  <si>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</si>
  <si>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</si>
  <si>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</si>
  <si>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</si>
  <si>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</si>
  <si>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</si>
  <si>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</si>
  <si>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</si>
  <si>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</si>
  <si>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</si>
  <si>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</si>
  <si>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</si>
  <si>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</si>
  <si>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</si>
  <si>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</si>
  <si>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</si>
  <si>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</si>
  <si>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</si>
  <si>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</si>
  <si>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</si>
  <si>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</si>
  <si>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</si>
  <si>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</si>
  <si>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</si>
  <si>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</si>
  <si>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</si>
  <si>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</si>
  <si>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</si>
  <si>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</si>
  <si>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</si>
  <si>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</si>
  <si>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</si>
  <si>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</si>
  <si>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</si>
  <si>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</si>
  <si>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</si>
  <si>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</si>
  <si>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</si>
  <si>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</si>
  <si>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</si>
  <si>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</si>
  <si>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</si>
  <si>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</si>
  <si>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</si>
  <si>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</si>
  <si>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</si>
  <si>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</si>
  <si>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</si>
  <si>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</si>
  <si>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</si>
  <si>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</si>
  <si>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</si>
  <si>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</si>
  <si>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</si>
  <si>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</si>
  <si>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</si>
  <si>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</si>
  <si>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</si>
  <si>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</si>
  <si>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</si>
  <si>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</si>
  <si>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</si>
  <si>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</si>
  <si>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</si>
  <si>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</si>
  <si>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</si>
  <si>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</si>
  <si>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</si>
  <si>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</si>
  <si>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</si>
  <si>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</si>
  <si>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</si>
  <si>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</si>
  <si>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</si>
  <si>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</si>
  <si>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</si>
  <si>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</si>
  <si>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</si>
  <si>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</si>
  <si>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</si>
  <si>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</si>
  <si>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</si>
  <si>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</si>
  <si>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</si>
  <si>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</si>
  <si>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</si>
  <si>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</si>
  <si>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</si>
  <si>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</si>
  <si>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</si>
  <si>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</si>
  <si>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</si>
  <si>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</si>
  <si>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</si>
  <si>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</si>
  <si>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</si>
  <si>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</si>
  <si>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</si>
  <si>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</si>
  <si>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</si>
  <si>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</si>
  <si>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</si>
  <si>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</si>
  <si>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</si>
  <si>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</si>
  <si>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</si>
  <si>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</si>
  <si>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</si>
  <si>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</si>
  <si>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</si>
  <si>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</si>
  <si>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</si>
  <si>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</si>
  <si>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</si>
  <si>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</si>
  <si>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</si>
  <si>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</si>
  <si>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</si>
  <si>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</si>
  <si>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</si>
  <si>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</si>
  <si>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</si>
  <si>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</si>
  <si>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</si>
  <si>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</si>
  <si>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</si>
  <si>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</si>
  <si>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</si>
  <si>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</si>
  <si>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</si>
  <si>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</si>
  <si>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</si>
  <si>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</si>
  <si>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</si>
  <si>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</si>
  <si>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</si>
  <si>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</si>
  <si>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</si>
  <si>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</si>
  <si>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</si>
  <si>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</si>
  <si>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</si>
  <si>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</si>
  <si>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</si>
  <si>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</si>
  <si>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</si>
  <si>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</si>
  <si>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</si>
  <si>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</si>
  <si>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</si>
  <si>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</si>
  <si>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</si>
  <si>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</si>
  <si>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</si>
  <si>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</si>
  <si>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</si>
  <si>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</si>
  <si>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</si>
  <si>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</si>
  <si>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</si>
  <si>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</si>
  <si>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</si>
  <si>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</si>
  <si>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</si>
  <si>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</si>
  <si>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</si>
  <si>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</si>
  <si>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</si>
  <si>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</si>
  <si>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</si>
  <si>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</si>
  <si>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</si>
  <si>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</si>
  <si>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</si>
  <si>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</si>
  <si>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</si>
  <si>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</si>
  <si>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</si>
  <si>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</si>
  <si>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</si>
  <si>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</si>
  <si>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</si>
  <si>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</si>
  <si>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</si>
  <si>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</si>
  <si>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</si>
  <si>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</si>
  <si>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</si>
  <si>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</si>
  <si>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</si>
  <si>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</si>
  <si>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</si>
  <si>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</si>
  <si>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</si>
  <si>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</si>
  <si>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</si>
  <si>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</si>
  <si>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</si>
  <si>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</si>
  <si>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</si>
  <si>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</si>
  <si>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</si>
  <si>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</si>
  <si>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</si>
  <si>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</si>
  <si>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</si>
  <si>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</si>
  <si>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</si>
  <si>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</si>
  <si>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</si>
  <si>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</si>
  <si>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</si>
  <si>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</si>
  <si>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</si>
  <si>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</si>
  <si>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</si>
  <si>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</si>
  <si>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</si>
  <si>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</si>
  <si>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</si>
  <si>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</si>
  <si>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</si>
  <si>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</si>
  <si>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</si>
  <si>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</si>
  <si>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</si>
  <si>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</si>
  <si>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</si>
  <si>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</si>
  <si>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</si>
  <si>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</si>
  <si>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</si>
  <si>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</si>
  <si>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</si>
  <si>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</si>
  <si>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</si>
  <si>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</si>
  <si>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</si>
  <si>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</si>
  <si>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</si>
  <si>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</si>
  <si>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</si>
  <si>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</si>
  <si>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</si>
  <si>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</si>
  <si>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</si>
  <si>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</si>
  <si>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</si>
  <si>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</si>
  <si>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</si>
  <si>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</si>
  <si>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</si>
  <si>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</si>
  <si>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</si>
  <si>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</si>
  <si>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</si>
  <si>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</si>
  <si>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</si>
  <si>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</si>
  <si>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</si>
  <si>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</si>
  <si>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</si>
  <si>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</si>
  <si>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</si>
  <si>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</si>
  <si>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</si>
  <si>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</si>
  <si>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</si>
  <si>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</si>
  <si>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</si>
  <si>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</si>
  <si>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</si>
  <si>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</si>
  <si>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</si>
  <si>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</si>
  <si>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</si>
  <si>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</si>
  <si>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</si>
  <si>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</si>
  <si>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</si>
  <si>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</si>
  <si>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</si>
  <si>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</si>
  <si>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</si>
  <si>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</si>
  <si>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</si>
  <si>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</si>
  <si>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</si>
  <si>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</si>
  <si>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</si>
  <si>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</si>
  <si>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</si>
  <si>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</si>
  <si>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</si>
  <si>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</si>
  <si>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</si>
  <si>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</si>
  <si>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</si>
  <si>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</si>
  <si>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</si>
  <si>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</si>
  <si>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</si>
  <si>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</si>
  <si>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</si>
  <si>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</si>
  <si>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</si>
  <si>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</si>
  <si>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</si>
  <si>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</si>
  <si>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</si>
  <si>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</si>
  <si>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</si>
  <si>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</si>
  <si>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</si>
  <si>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</si>
  <si>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</si>
  <si>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</si>
  <si>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</si>
  <si>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</si>
  <si>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</si>
  <si>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</si>
  <si>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</si>
  <si>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</si>
  <si>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</si>
  <si>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</si>
  <si>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</si>
  <si>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</si>
  <si>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</si>
  <si>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</si>
  <si>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</si>
  <si>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</si>
  <si>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</si>
  <si>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</si>
  <si>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</si>
  <si>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</si>
  <si>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</si>
  <si>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</si>
  <si>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</si>
  <si>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</si>
  <si>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</si>
  <si>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</si>
  <si>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</si>
  <si>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</si>
  <si>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</si>
  <si>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</si>
  <si>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</si>
  <si>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</si>
  <si>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</si>
  <si>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</si>
  <si>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</si>
  <si>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</si>
  <si>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</si>
  <si>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</si>
  <si>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</si>
  <si>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</si>
  <si>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</si>
  <si>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</si>
  <si>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</si>
  <si>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</si>
  <si>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</si>
  <si>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</si>
  <si>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</si>
  <si>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</si>
  <si>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</si>
  <si>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</si>
  <si>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</si>
  <si>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</si>
  <si>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</si>
  <si>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</si>
  <si>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</si>
  <si>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</si>
  <si>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</si>
  <si>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</si>
  <si>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</si>
  <si>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</si>
  <si>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</si>
  <si>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</si>
  <si>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</si>
  <si>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</si>
  <si>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</si>
  <si>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</si>
  <si>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</si>
  <si>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</si>
  <si>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</si>
  <si>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</si>
  <si>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</si>
  <si>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</si>
  <si>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</si>
  <si>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</si>
  <si>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</si>
  <si>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</si>
  <si>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</si>
  <si>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</si>
  <si>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</si>
  <si>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</si>
  <si>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</si>
  <si>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</si>
  <si>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</si>
  <si>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</si>
  <si>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</si>
  <si>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</si>
  <si>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</si>
  <si>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</si>
  <si>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</si>
  <si>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</si>
  <si>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</si>
  <si>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</si>
  <si>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</si>
  <si>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</si>
  <si>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</si>
  <si>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</si>
  <si>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</si>
  <si>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</si>
  <si>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</si>
  <si>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</si>
  <si>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</si>
  <si>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</si>
  <si>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</si>
  <si>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</si>
  <si>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</si>
  <si>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</si>
  <si>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</si>
  <si>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</si>
  <si>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</si>
  <si>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</si>
  <si>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</si>
  <si>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</si>
  <si>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</si>
  <si>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</si>
  <si>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</si>
  <si>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</si>
  <si>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</si>
  <si>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</si>
  <si>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</si>
  <si>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</si>
  <si>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</si>
  <si>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</si>
  <si>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</si>
  <si>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</si>
  <si>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</si>
  <si>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</si>
  <si>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</si>
  <si>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</si>
  <si>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</si>
  <si>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</si>
  <si>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</si>
  <si>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</si>
  <si>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</si>
  <si>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</si>
  <si>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</si>
  <si>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</si>
  <si>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</si>
  <si>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</si>
  <si>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</si>
  <si>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</si>
  <si>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</si>
  <si>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</si>
  <si>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</si>
  <si>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</si>
  <si>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</si>
  <si>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</si>
  <si>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</si>
  <si>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</si>
  <si>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</si>
  <si>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</si>
  <si>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</si>
  <si>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</si>
  <si>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</si>
  <si>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</si>
  <si>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</si>
  <si>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</si>
  <si>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</si>
  <si>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</si>
  <si>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</si>
  <si>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</si>
  <si>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</si>
  <si>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</si>
  <si>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</si>
  <si>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</si>
  <si>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</si>
  <si>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</si>
  <si>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</si>
  <si>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</si>
  <si>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</si>
  <si>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</si>
  <si>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</si>
  <si>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</si>
  <si>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</si>
  <si>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</si>
  <si>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</si>
  <si>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</si>
  <si>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</si>
  <si>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</si>
  <si>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</si>
  <si>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</si>
  <si>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</si>
  <si>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</si>
  <si>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</si>
  <si>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</si>
  <si>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</si>
  <si>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</si>
  <si>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</si>
  <si>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</si>
  <si>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</si>
  <si>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</si>
  <si>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</si>
  <si>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</si>
  <si>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</si>
  <si>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</si>
  <si>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</si>
  <si>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</si>
  <si>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</si>
  <si>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</si>
  <si>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</si>
  <si>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</si>
  <si>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</si>
  <si>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</si>
  <si>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</si>
  <si>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</si>
  <si>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</si>
  <si>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</si>
  <si>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</si>
  <si>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</si>
  <si>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</si>
  <si>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</si>
  <si>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</si>
  <si>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</si>
  <si>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</si>
  <si>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</si>
  <si>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</si>
  <si>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</si>
  <si>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</si>
  <si>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</si>
  <si>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</si>
  <si>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</si>
  <si>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</si>
  <si>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</si>
  <si>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</si>
  <si>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</si>
  <si>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</si>
  <si>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</si>
  <si>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</si>
  <si>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</si>
  <si>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</si>
  <si>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</si>
  <si>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</si>
  <si>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</si>
  <si>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</si>
  <si>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</si>
  <si>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</si>
  <si>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</si>
  <si>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</si>
  <si>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</si>
  <si>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</si>
  <si>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</si>
  <si>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</si>
  <si>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</si>
  <si>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</si>
  <si>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</si>
  <si>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</si>
  <si>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</si>
  <si>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</si>
  <si>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</si>
  <si>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</si>
  <si>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</si>
  <si>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</si>
  <si>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</si>
  <si>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</si>
  <si>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</si>
  <si>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</si>
  <si>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</si>
  <si>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</si>
  <si>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</si>
  <si>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</si>
  <si>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</si>
  <si>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</si>
  <si>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</si>
  <si>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</si>
  <si>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</si>
  <si>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</si>
  <si>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</si>
  <si>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</si>
  <si>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</si>
  <si>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</si>
  <si>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</si>
  <si>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</si>
  <si>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</si>
  <si>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</si>
  <si>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</si>
  <si>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</si>
  <si>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</si>
  <si>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</si>
  <si>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</si>
  <si>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</si>
  <si>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</si>
  <si>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</si>
  <si>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</si>
  <si>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</si>
  <si>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</si>
  <si>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</si>
  <si>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</si>
  <si>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</si>
  <si>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</si>
  <si>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</si>
  <si>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</si>
  <si>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</si>
  <si>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</si>
  <si>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</si>
  <si>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</si>
  <si>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</si>
  <si>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</si>
  <si>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</si>
  <si>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</si>
  <si>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</si>
  <si>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</si>
  <si>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</si>
  <si>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</si>
  <si>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</si>
  <si>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</si>
  <si>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</si>
  <si>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</si>
  <si>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</si>
  <si>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</si>
  <si>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</si>
  <si>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</si>
  <si>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</si>
  <si>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</si>
  <si>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</si>
  <si>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</si>
  <si>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</si>
  <si>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</si>
  <si>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</si>
  <si>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</si>
  <si>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</si>
  <si>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</si>
  <si>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</si>
  <si>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</si>
  <si>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</si>
  <si>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</si>
  <si>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</si>
  <si>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</si>
  <si>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</si>
  <si>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</si>
  <si>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</si>
  <si>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</si>
  <si>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</si>
  <si>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</si>
  <si>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</si>
  <si>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</si>
  <si>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</si>
  <si>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</si>
  <si>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</si>
  <si>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</si>
  <si>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</si>
  <si>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</si>
  <si>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</si>
  <si>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</si>
  <si>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</si>
  <si>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</si>
  <si>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</si>
  <si>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</si>
  <si>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</si>
  <si>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</si>
  <si>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</si>
  <si>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</si>
  <si>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</si>
  <si>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</si>
  <si>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</si>
  <si>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</si>
  <si>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</si>
  <si>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</si>
  <si>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</si>
  <si>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</si>
  <si>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</si>
  <si>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</si>
  <si>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</si>
  <si>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</si>
  <si>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</si>
  <si>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</si>
  <si>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</si>
  <si>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</si>
  <si>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</si>
  <si>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</si>
  <si>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</si>
  <si>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</si>
  <si>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</si>
  <si>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</si>
  <si>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</si>
  <si>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</si>
  <si>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</si>
  <si>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</si>
  <si>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</si>
  <si>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</si>
  <si>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</si>
  <si>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</si>
  <si>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</si>
  <si>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</si>
  <si>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</si>
  <si>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</si>
  <si>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</si>
  <si>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</si>
  <si>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</si>
  <si>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</si>
  <si>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</si>
  <si>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</si>
  <si>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</si>
  <si>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</si>
  <si>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</si>
  <si>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</si>
  <si>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</si>
  <si>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</si>
  <si>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</si>
  <si>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</si>
  <si>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</si>
  <si>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</si>
  <si>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</si>
  <si>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</si>
  <si>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</si>
  <si>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</si>
  <si>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</si>
  <si>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</si>
  <si>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</si>
  <si>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</si>
  <si>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</si>
  <si>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</si>
  <si>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</si>
  <si>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</si>
  <si>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</si>
  <si>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</si>
  <si>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</si>
  <si>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</si>
  <si>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</si>
  <si>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</si>
  <si>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</si>
  <si>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</si>
  <si>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</si>
  <si>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</si>
  <si>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</si>
  <si>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</si>
  <si>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</si>
  <si>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</si>
  <si>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</si>
  <si>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</si>
  <si>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</si>
  <si>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</si>
  <si>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</si>
  <si>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</si>
  <si>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</si>
  <si>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</si>
  <si>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</si>
  <si>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</si>
  <si>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</si>
  <si>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</si>
  <si>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</si>
  <si>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</si>
  <si>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</si>
  <si>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</si>
  <si>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</si>
  <si>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</si>
  <si>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</si>
  <si>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</si>
  <si>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</si>
  <si>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</si>
  <si>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</si>
  <si>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</si>
  <si>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</si>
  <si>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</si>
  <si>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</si>
  <si>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</si>
  <si>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</si>
  <si>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</si>
  <si>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</si>
  <si>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</si>
  <si>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</si>
  <si>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</si>
  <si>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</si>
  <si>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</si>
  <si>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</si>
  <si>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</si>
  <si>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</si>
  <si>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</si>
  <si>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</si>
  <si>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</si>
  <si>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</si>
  <si>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</si>
  <si>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</si>
  <si>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</si>
  <si>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</si>
  <si>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</si>
  <si>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</si>
  <si>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</si>
  <si>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</si>
  <si>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</si>
  <si>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</si>
  <si>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</si>
  <si>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</si>
  <si>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</si>
  <si>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</si>
  <si>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</si>
  <si>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</si>
  <si>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</si>
  <si>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</si>
  <si>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</si>
  <si>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</si>
  <si>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</si>
  <si>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</si>
  <si>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</si>
  <si>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</si>
  <si>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</si>
  <si>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</si>
  <si>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</si>
  <si>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</si>
  <si>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</si>
  <si>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</si>
  <si>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</si>
  <si>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</si>
  <si>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</si>
  <si>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</si>
  <si>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</si>
  <si>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</si>
  <si>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</si>
  <si>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</si>
  <si>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</si>
  <si>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</si>
  <si>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</si>
  <si>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</si>
  <si>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</si>
  <si>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</si>
  <si>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</si>
  <si>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</si>
  <si>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</si>
  <si>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</si>
  <si>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</si>
  <si>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</si>
  <si>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</si>
  <si>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</si>
  <si>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</si>
  <si>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</si>
  <si>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</si>
  <si>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</si>
  <si>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</si>
  <si>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</si>
  <si>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</si>
  <si>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</si>
  <si>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</si>
  <si>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</si>
  <si>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</si>
  <si>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</si>
  <si>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</si>
  <si>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</si>
  <si>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</si>
  <si>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</si>
  <si>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</si>
  <si>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</si>
  <si>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</si>
  <si>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</si>
  <si>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</si>
  <si>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</si>
  <si>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</si>
  <si>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</si>
  <si>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</si>
  <si>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</si>
  <si>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</si>
  <si>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</si>
  <si>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</si>
  <si>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</si>
  <si>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</si>
  <si>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</si>
  <si>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</si>
  <si>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</si>
  <si>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</si>
  <si>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</si>
  <si>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</si>
  <si>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</si>
  <si>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</si>
  <si>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</si>
  <si>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</si>
  <si>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</si>
  <si>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</si>
  <si>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</si>
  <si>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</si>
  <si>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</si>
  <si>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</si>
  <si>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</si>
  <si>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</si>
  <si>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</si>
  <si>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</si>
  <si>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</si>
  <si>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</si>
  <si>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</si>
  <si>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</si>
  <si>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</si>
  <si>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</si>
  <si>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</si>
  <si>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</si>
  <si>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</si>
  <si>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</si>
  <si>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</si>
  <si>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</si>
  <si>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</si>
  <si>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</si>
  <si>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</si>
  <si>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</si>
  <si>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</si>
  <si>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</si>
  <si>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</si>
  <si>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</si>
  <si>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</si>
  <si>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</si>
  <si>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</si>
  <si>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</si>
  <si>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</si>
  <si>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</si>
  <si>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</si>
  <si>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</si>
  <si>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</si>
  <si>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</si>
  <si>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</si>
  <si>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</si>
  <si>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</si>
  <si>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</si>
  <si>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</si>
  <si>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</si>
  <si>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</si>
  <si>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</si>
  <si>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</si>
  <si>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</si>
  <si>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</si>
  <si>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</si>
  <si>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</si>
  <si>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</si>
  <si>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</si>
  <si>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</si>
  <si>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</si>
  <si>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</si>
  <si>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</si>
  <si>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</si>
  <si>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</si>
  <si>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</si>
  <si>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</si>
  <si>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</si>
  <si>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</si>
  <si>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</si>
  <si>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</si>
  <si>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</si>
  <si>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</si>
  <si>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</si>
  <si>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</si>
  <si>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</si>
  <si>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</si>
  <si>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</si>
  <si>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</si>
  <si>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</si>
  <si>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</si>
  <si>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</si>
  <si>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</si>
  <si>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</si>
  <si>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</si>
  <si>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</si>
  <si>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</si>
  <si>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</si>
  <si>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</si>
  <si>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</si>
  <si>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</si>
  <si>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</si>
  <si>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</si>
  <si>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</si>
  <si>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</si>
  <si>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</si>
  <si>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</si>
  <si>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</si>
  <si>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</si>
  <si>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</si>
  <si>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</si>
  <si>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</si>
  <si>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</si>
  <si>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</si>
  <si>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</si>
  <si>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</si>
  <si>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</si>
  <si>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</si>
  <si>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</si>
  <si>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</si>
  <si>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</si>
  <si>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</si>
  <si>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</si>
  <si>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</si>
  <si>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</si>
  <si>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</si>
  <si>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</si>
  <si>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</si>
  <si>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</si>
  <si>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</si>
  <si>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</si>
  <si>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</si>
  <si>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</si>
  <si>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</si>
  <si>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</si>
  <si>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</si>
  <si>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</si>
  <si>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</si>
  <si>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</si>
  <si>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</si>
  <si>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</si>
  <si>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</si>
  <si>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</si>
  <si>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</si>
  <si>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</si>
  <si>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</si>
  <si>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</si>
  <si>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</si>
  <si>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</si>
  <si>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</si>
  <si>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</si>
  <si>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</si>
  <si>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</si>
  <si>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</si>
  <si>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</si>
  <si>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</si>
  <si>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</si>
  <si>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</si>
  <si>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</si>
  <si>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</si>
  <si>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</si>
  <si>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</si>
  <si>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</si>
  <si>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</si>
  <si>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</si>
  <si>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</si>
  <si>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</si>
  <si>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</si>
  <si>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</si>
  <si>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</si>
  <si>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</si>
  <si>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</si>
  <si>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</si>
  <si>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</si>
  <si>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</si>
  <si>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</si>
  <si>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</si>
  <si>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</si>
  <si>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</si>
  <si>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</si>
  <si>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</si>
  <si>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</si>
  <si>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</si>
  <si>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</si>
  <si>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</si>
  <si>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</si>
  <si>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</si>
  <si>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</si>
  <si>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</si>
  <si>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</si>
  <si>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</si>
  <si>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</si>
  <si>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</si>
  <si>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</si>
  <si>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</si>
  <si>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</si>
  <si>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</si>
  <si>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</si>
  <si>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</si>
  <si>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</si>
  <si>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</si>
  <si>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</si>
  <si>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</si>
  <si>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</si>
  <si>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</si>
  <si>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</si>
  <si>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</si>
  <si>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</si>
  <si>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</si>
  <si>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</si>
  <si>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</si>
  <si>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</si>
  <si>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</si>
  <si>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</si>
  <si>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</si>
  <si>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</si>
  <si>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</si>
  <si>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</si>
  <si>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</si>
  <si>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</si>
  <si>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</si>
  <si>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</si>
  <si>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</si>
  <si>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</si>
  <si>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</si>
  <si>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</si>
  <si>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</si>
  <si>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</si>
  <si>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</si>
  <si>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</si>
  <si>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</si>
  <si>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</si>
  <si>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</si>
  <si>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</si>
  <si>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</si>
  <si>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</si>
  <si>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</si>
  <si>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</si>
  <si>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</si>
  <si>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</si>
  <si>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</si>
  <si>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</si>
  <si>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</si>
  <si>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</si>
  <si>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</si>
  <si>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</si>
  <si>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</si>
  <si>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</si>
  <si>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</si>
  <si>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</si>
  <si>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</si>
  <si>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</si>
  <si>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</si>
  <si>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</si>
  <si>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</si>
  <si>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</si>
  <si>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</si>
  <si>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</si>
  <si>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</si>
  <si>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</si>
  <si>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</si>
  <si>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</si>
  <si>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</si>
  <si>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</si>
  <si>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</si>
  <si>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</si>
  <si>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</si>
  <si>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</si>
  <si>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</si>
  <si>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</si>
  <si>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</si>
  <si>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</si>
  <si>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</si>
  <si>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</si>
  <si>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</si>
  <si>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</si>
  <si>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</si>
  <si>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</si>
  <si>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</si>
  <si>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</si>
  <si>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</si>
  <si>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</si>
  <si>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</si>
  <si>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</si>
  <si>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</si>
  <si>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</si>
  <si>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</si>
  <si>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</si>
  <si>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</si>
  <si>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</si>
  <si>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</si>
  <si>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</si>
  <si>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</si>
  <si>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</si>
  <si>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</si>
  <si>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</si>
  <si>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</si>
  <si>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</si>
  <si>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</si>
  <si>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</si>
  <si>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</si>
  <si>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</si>
  <si>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</si>
  <si>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</si>
  <si>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</si>
  <si>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</si>
  <si>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</si>
  <si>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</si>
  <si>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</si>
  <si>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</si>
  <si>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</si>
  <si>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</si>
  <si>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</si>
  <si>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</si>
  <si>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</si>
  <si>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</si>
  <si>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</si>
  <si>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</si>
  <si>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</si>
  <si>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</si>
  <si>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</si>
  <si>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</si>
  <si>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</si>
  <si>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</si>
  <si>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</si>
  <si>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</si>
  <si>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</si>
  <si>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</si>
  <si>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</si>
  <si>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</si>
  <si>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</si>
  <si>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</si>
  <si>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</si>
  <si>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</si>
  <si>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</si>
  <si>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</si>
  <si>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</si>
  <si>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</si>
  <si>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</si>
  <si>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</si>
  <si>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</si>
  <si>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</si>
  <si>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</si>
  <si>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</si>
  <si>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</si>
  <si>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</si>
  <si>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</si>
  <si>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</si>
  <si>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</si>
  <si>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</si>
  <si>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</si>
  <si>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</si>
  <si>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</si>
  <si>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</si>
  <si>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</si>
  <si>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</si>
  <si>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</si>
  <si>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</si>
  <si>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</si>
  <si>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</si>
  <si>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</si>
  <si>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</si>
  <si>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</si>
  <si>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</si>
  <si>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</si>
  <si>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</si>
  <si>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</si>
  <si>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</si>
  <si>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</si>
  <si>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</si>
  <si>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</si>
  <si>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</si>
  <si>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</si>
  <si>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</si>
  <si>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</si>
  <si>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</si>
  <si>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</si>
  <si>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</si>
  <si>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</si>
  <si>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</si>
  <si>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</si>
  <si>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</si>
  <si>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</si>
  <si>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</si>
  <si>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</si>
  <si>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</si>
  <si>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</si>
  <si>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</si>
  <si>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</si>
  <si>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</si>
  <si>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</si>
  <si>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</si>
  <si>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</si>
  <si>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</si>
  <si>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</si>
  <si>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</si>
  <si>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</si>
  <si>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</si>
  <si>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</si>
  <si>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</si>
  <si>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</si>
  <si>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</si>
  <si>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</si>
  <si>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</si>
  <si>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</si>
  <si>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</si>
  <si>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</si>
  <si>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</si>
  <si>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</si>
  <si>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</si>
  <si>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</si>
  <si>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</si>
  <si>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</si>
  <si>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</si>
  <si>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</si>
  <si>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</si>
  <si>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</si>
  <si>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</si>
  <si>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</si>
  <si>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</si>
  <si>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</si>
  <si>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</si>
  <si>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</si>
  <si>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</si>
  <si>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</si>
  <si>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</si>
  <si>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</si>
  <si>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</si>
  <si>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</si>
  <si>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</si>
  <si>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</si>
  <si>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</si>
  <si>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</si>
  <si>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</si>
  <si>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</si>
  <si>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</si>
  <si>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</si>
  <si>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</si>
  <si>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</si>
  <si>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</si>
  <si>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</si>
  <si>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</si>
  <si>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</si>
  <si>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</si>
  <si>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</si>
  <si>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</si>
  <si>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</si>
  <si>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</si>
  <si>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</si>
  <si>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</si>
  <si>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</si>
  <si>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</si>
  <si>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</si>
  <si>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</si>
  <si>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</si>
  <si>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</si>
  <si>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</si>
  <si>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</si>
  <si>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</si>
  <si>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</si>
  <si>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</si>
  <si>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</si>
  <si>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</si>
  <si>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</si>
  <si>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</si>
  <si>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</si>
  <si>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</si>
  <si>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</si>
  <si>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</si>
  <si>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</si>
  <si>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</si>
  <si>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</si>
  <si>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</si>
  <si>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</si>
  <si>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</si>
  <si>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</si>
  <si>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</si>
  <si>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</si>
  <si>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</si>
  <si>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</si>
  <si>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</si>
  <si>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</si>
  <si>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</si>
  <si>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</si>
  <si>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</si>
  <si>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</si>
  <si>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</si>
  <si>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</si>
  <si>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</si>
  <si>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</si>
  <si>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</si>
  <si>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</si>
  <si>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</si>
  <si>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</si>
  <si>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</si>
  <si>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</si>
  <si>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</si>
  <si>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</si>
  <si>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</si>
  <si>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</si>
  <si>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</si>
  <si>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</si>
  <si>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</si>
  <si>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</si>
  <si>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</si>
  <si>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</si>
  <si>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</si>
  <si>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</si>
  <si>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</si>
  <si>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</si>
  <si>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</si>
  <si>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</si>
  <si>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</si>
  <si>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</si>
  <si>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</si>
  <si>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</si>
  <si>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</si>
  <si>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</si>
  <si>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</si>
  <si>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</si>
  <si>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</si>
  <si>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</si>
  <si>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</si>
  <si>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</si>
  <si>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</si>
  <si>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</si>
  <si>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</si>
  <si>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</si>
  <si>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</si>
  <si>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</si>
  <si>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</si>
  <si>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</si>
  <si>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</si>
  <si>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</si>
  <si>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</si>
  <si>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</si>
  <si>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</si>
  <si>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</si>
  <si>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</si>
  <si>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</si>
  <si>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</si>
  <si>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</si>
  <si>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</si>
  <si>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</si>
  <si>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</si>
  <si>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</si>
  <si>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</si>
  <si>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</si>
  <si>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</si>
  <si>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</si>
  <si>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</si>
  <si>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</si>
  <si>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</si>
  <si>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</si>
  <si>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</si>
  <si>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</si>
  <si>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</si>
  <si>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</si>
  <si>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</si>
  <si>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</si>
  <si>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</si>
  <si>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</si>
  <si>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</si>
  <si>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</si>
  <si>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</si>
  <si>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</si>
  <si>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</si>
  <si>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</si>
  <si>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</si>
  <si>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</si>
  <si>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</si>
  <si>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</si>
  <si>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</si>
  <si>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</si>
  <si>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</si>
  <si>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</si>
  <si>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</si>
  <si>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</si>
  <si>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</si>
  <si>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</si>
  <si>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</si>
  <si>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</si>
  <si>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</si>
  <si>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</si>
  <si>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</si>
  <si>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</si>
  <si>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</si>
  <si>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</si>
  <si>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</si>
  <si>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</si>
  <si>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</si>
  <si>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</si>
  <si>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</si>
  <si>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</si>
  <si>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</si>
  <si>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</si>
  <si>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</si>
  <si>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</si>
  <si>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</si>
  <si>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</si>
  <si>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</si>
  <si>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</si>
  <si>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</si>
  <si>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</si>
  <si>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</si>
  <si>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</si>
  <si>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</si>
  <si>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</si>
  <si>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</si>
  <si>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</si>
  <si>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</si>
  <si>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</si>
  <si>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</si>
  <si>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</si>
  <si>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</si>
  <si>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</si>
  <si>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</si>
  <si>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</si>
  <si>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</si>
  <si>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</si>
  <si>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</si>
  <si>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</si>
  <si>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</si>
  <si>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</si>
  <si>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</si>
  <si>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</si>
  <si>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</si>
  <si>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</si>
  <si>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</si>
  <si>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</si>
  <si>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</si>
  <si>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</si>
  <si>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</si>
  <si>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</si>
  <si>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</si>
  <si>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</si>
  <si>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</si>
  <si>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</si>
  <si>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</si>
  <si>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</si>
  <si>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</si>
  <si>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</si>
  <si>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</si>
  <si>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</si>
  <si>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</si>
  <si>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</si>
  <si>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</si>
  <si>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</si>
  <si>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</si>
  <si>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</si>
  <si>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</si>
  <si>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</si>
  <si>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</si>
  <si>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</si>
  <si>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</si>
  <si>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</si>
  <si>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</si>
  <si>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</si>
  <si>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</si>
  <si>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</si>
  <si>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</si>
  <si>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</si>
  <si>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</si>
  <si>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</si>
  <si>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</si>
  <si>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</si>
  <si>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</si>
  <si>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</si>
  <si>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</si>
  <si>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</si>
  <si>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</si>
  <si>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</si>
  <si>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</si>
  <si>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</si>
  <si>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</si>
  <si>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</si>
  <si>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</si>
  <si>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</si>
  <si>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</si>
  <si>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</si>
  <si>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</si>
  <si>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</si>
  <si>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</si>
  <si>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</si>
  <si>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</si>
  <si>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</si>
  <si>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</si>
  <si>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</si>
  <si>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</si>
  <si>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</si>
  <si>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</si>
  <si>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</si>
  <si>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</si>
  <si>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</si>
  <si>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</si>
  <si>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</si>
  <si>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</si>
  <si>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</si>
  <si>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</si>
  <si>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</si>
  <si>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</si>
  <si>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</si>
  <si>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</si>
  <si>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</si>
  <si>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</si>
  <si>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</si>
  <si>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</si>
  <si>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</si>
  <si>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</si>
  <si>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</si>
  <si>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</si>
  <si>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</si>
  <si>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</si>
  <si>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</si>
  <si>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</si>
  <si>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</si>
  <si>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</si>
  <si>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</si>
  <si>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</si>
  <si>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</si>
  <si>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</si>
  <si>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</si>
  <si>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</si>
  <si>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</si>
  <si>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</si>
  <si>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</si>
  <si>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</si>
  <si>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</si>
  <si>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</si>
  <si>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</si>
  <si>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</si>
  <si>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</si>
  <si>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</si>
  <si>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</si>
  <si>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</si>
  <si>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</si>
  <si>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</si>
  <si>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</si>
  <si>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</si>
  <si>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</si>
  <si>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</si>
  <si>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</si>
  <si>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</si>
  <si>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</si>
  <si>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</si>
  <si>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</si>
  <si>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</si>
  <si>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</si>
  <si>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</si>
  <si>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</si>
  <si>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</si>
  <si>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</si>
  <si>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</si>
  <si>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</si>
  <si>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</si>
  <si>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</si>
  <si>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</si>
  <si>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</si>
  <si>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</si>
  <si>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</si>
  <si>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</si>
  <si>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</si>
  <si>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</si>
  <si>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</si>
  <si>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</si>
  <si>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</si>
  <si>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</si>
  <si>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</si>
  <si>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</si>
  <si>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</si>
  <si>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</si>
  <si>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</si>
  <si>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</si>
  <si>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</si>
  <si>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</si>
  <si>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</si>
  <si>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</si>
  <si>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</si>
  <si>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</si>
  <si>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</si>
  <si>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</si>
  <si>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</si>
  <si>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</si>
  <si>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</si>
  <si>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</si>
  <si>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</si>
  <si>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</si>
  <si>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</si>
  <si>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</si>
  <si>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</si>
  <si>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</si>
  <si>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</si>
  <si>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</si>
  <si>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</si>
  <si>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</si>
  <si>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</si>
  <si>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</si>
  <si>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</si>
  <si>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</si>
  <si>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</si>
  <si>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</si>
  <si>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</si>
  <si>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</si>
  <si>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</si>
  <si>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</si>
  <si>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</si>
  <si>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</si>
  <si>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</si>
  <si>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</si>
  <si>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</si>
  <si>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</si>
  <si>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</si>
  <si>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</si>
  <si>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</si>
  <si>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</si>
  <si>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</si>
  <si>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</si>
  <si>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</si>
  <si>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</si>
  <si>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</si>
  <si>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</si>
  <si>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</si>
  <si>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</si>
  <si>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</si>
  <si>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</si>
  <si>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</si>
  <si>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</si>
  <si>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</si>
  <si>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</si>
  <si>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</si>
  <si>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</si>
  <si>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</si>
  <si>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</si>
  <si>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</si>
  <si>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</si>
  <si>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</si>
  <si>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</si>
  <si>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</si>
  <si>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</si>
  <si>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</si>
  <si>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</si>
  <si>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</si>
  <si>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</si>
  <si>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</si>
  <si>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</si>
  <si>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</si>
  <si>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</si>
  <si>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</si>
  <si>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</si>
  <si>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</si>
  <si>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</si>
  <si>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</si>
  <si>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</si>
  <si>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</si>
  <si>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</si>
  <si>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</si>
  <si>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</si>
  <si>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</si>
  <si>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</si>
  <si>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</si>
  <si>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</si>
  <si>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</si>
  <si>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</si>
  <si>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</si>
  <si>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</si>
  <si>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</si>
  <si>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</si>
  <si>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</si>
  <si>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</si>
  <si>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</si>
  <si>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</si>
  <si>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</si>
  <si>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</si>
  <si>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</si>
  <si>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</si>
  <si>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</si>
  <si>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</si>
  <si>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</si>
  <si>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</si>
  <si>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</si>
  <si>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</si>
  <si>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</si>
  <si>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</si>
  <si>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</si>
  <si>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</si>
  <si>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</si>
  <si>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</si>
  <si>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</si>
  <si>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</si>
  <si>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</si>
  <si>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</si>
  <si>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</si>
  <si>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</si>
  <si>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</si>
  <si>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</si>
  <si>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</si>
  <si>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</si>
  <si>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</si>
  <si>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</si>
  <si>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</si>
  <si>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</si>
  <si>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</si>
  <si>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</si>
  <si>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</si>
  <si>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</si>
  <si>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</si>
  <si>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</si>
  <si>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</si>
  <si>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</si>
  <si>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</si>
  <si>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</si>
  <si>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</si>
  <si>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</si>
  <si>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</si>
  <si>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</si>
  <si>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</si>
  <si>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</si>
  <si>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</si>
  <si>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</si>
  <si>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</si>
  <si>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</si>
  <si>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</si>
  <si>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</si>
  <si>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</si>
  <si>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</si>
  <si>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</si>
  <si>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</si>
  <si>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</si>
  <si>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</si>
  <si>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</si>
  <si>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</si>
  <si>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</si>
  <si>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</si>
  <si>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</si>
  <si>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</si>
  <si>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</si>
  <si>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</si>
  <si>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</si>
  <si>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</si>
  <si>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</si>
  <si>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</si>
  <si>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</si>
  <si>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</si>
  <si>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</si>
  <si>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</si>
  <si>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</si>
  <si>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</si>
  <si>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</si>
  <si>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</si>
  <si>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</si>
  <si>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</si>
  <si>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</si>
  <si>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</si>
  <si>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</si>
  <si>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</si>
  <si>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</si>
  <si>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</si>
  <si>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</si>
  <si>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</si>
  <si>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</si>
  <si>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</si>
  <si>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</si>
  <si>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</si>
  <si>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</si>
  <si>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</si>
  <si>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</si>
  <si>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</si>
  <si>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</si>
  <si>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</si>
  <si>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</si>
  <si>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</si>
  <si>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</si>
  <si>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</si>
  <si>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</si>
  <si>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</si>
  <si>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</si>
  <si>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</si>
  <si>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</si>
  <si>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</si>
  <si>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</si>
  <si>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</si>
  <si>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</si>
  <si>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</si>
  <si>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</si>
  <si>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</si>
  <si>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</si>
  <si>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</si>
  <si>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</si>
  <si>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</si>
  <si>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</si>
  <si>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</si>
  <si>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</si>
  <si>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</si>
  <si>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</si>
  <si>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</si>
  <si>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</si>
  <si>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</si>
  <si>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</si>
  <si>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</si>
  <si>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</si>
  <si>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</si>
  <si>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</si>
  <si>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</si>
  <si>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</si>
  <si>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</si>
  <si>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</si>
  <si>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</si>
  <si>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</si>
  <si>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</si>
  <si>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</si>
  <si>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</si>
  <si>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</si>
  <si>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</si>
  <si>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</si>
  <si>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</si>
  <si>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</si>
  <si>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</si>
  <si>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</si>
  <si>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</si>
  <si>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</si>
  <si>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</si>
  <si>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</si>
  <si>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</si>
  <si>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</si>
  <si>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</si>
  <si>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</si>
  <si>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</si>
  <si>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</si>
  <si>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</si>
  <si>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</si>
  <si>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</si>
  <si>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</si>
  <si>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</si>
  <si>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</si>
  <si>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</si>
  <si>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</si>
  <si>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</si>
  <si>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</si>
  <si>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</si>
  <si>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</si>
  <si>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</si>
  <si>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</si>
  <si>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</si>
  <si>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</si>
  <si>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</si>
  <si>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</si>
  <si>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</si>
  <si>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</si>
  <si>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</si>
  <si>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</si>
  <si>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</si>
  <si>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</si>
  <si>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</si>
  <si>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</si>
  <si>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</si>
  <si>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</si>
  <si>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</si>
  <si>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</si>
  <si>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</si>
  <si>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</si>
  <si>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</si>
  <si>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</si>
  <si>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</si>
  <si>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</si>
  <si>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</si>
  <si>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</si>
  <si>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</si>
  <si>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</si>
  <si>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</si>
  <si>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</si>
  <si>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</si>
  <si>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</si>
  <si>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</si>
  <si>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</si>
  <si>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</si>
  <si>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</si>
  <si>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</si>
  <si>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</si>
  <si>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</si>
  <si>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</si>
  <si>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</si>
  <si>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</si>
  <si>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</si>
  <si>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</si>
  <si>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</si>
  <si>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</si>
  <si>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</si>
  <si>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</si>
  <si>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</si>
  <si>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</si>
  <si>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</si>
  <si>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</si>
  <si>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</si>
  <si>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</si>
  <si>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</si>
  <si>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</si>
  <si>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</si>
  <si>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</si>
  <si>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</si>
  <si>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</si>
  <si>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</si>
  <si>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</si>
  <si>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</si>
  <si>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</si>
  <si>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</si>
  <si>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</si>
  <si>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</si>
  <si>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</si>
  <si>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</si>
  <si>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</si>
  <si>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</si>
  <si>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</si>
  <si>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</si>
  <si>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</si>
  <si>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</si>
  <si>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</si>
  <si>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</si>
  <si>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</si>
  <si>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</si>
  <si>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</si>
  <si>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</si>
  <si>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</si>
  <si>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</si>
  <si>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</si>
  <si>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</si>
  <si>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</si>
  <si>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</si>
  <si>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</si>
  <si>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</si>
  <si>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</si>
  <si>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</si>
  <si>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</si>
  <si>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</si>
  <si>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</si>
  <si>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</si>
  <si>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</si>
  <si>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</si>
  <si>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</si>
  <si>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</si>
  <si>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</si>
  <si>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</si>
  <si>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</si>
  <si>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</si>
  <si>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</si>
  <si>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</si>
  <si>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</si>
  <si>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</si>
  <si>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</si>
  <si>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</si>
  <si>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</si>
  <si>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</si>
  <si>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</si>
  <si>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</si>
  <si>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</si>
  <si>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</si>
  <si>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</si>
  <si>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</si>
  <si>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</si>
  <si>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</si>
  <si>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</si>
  <si>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</si>
  <si>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</si>
  <si>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</si>
  <si>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</si>
  <si>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</si>
  <si>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</si>
  <si>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</si>
  <si>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</si>
  <si>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</si>
  <si>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</si>
  <si>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</si>
  <si>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</si>
  <si>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</si>
  <si>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</si>
  <si>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</si>
  <si>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</si>
  <si>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</si>
  <si>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</si>
  <si>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</si>
  <si>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</si>
  <si>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</si>
  <si>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</si>
  <si>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</si>
  <si>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</si>
  <si>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</si>
  <si>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</si>
  <si>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</si>
  <si>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</si>
  <si>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</si>
  <si>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</si>
  <si>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</si>
  <si>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</si>
  <si>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</si>
  <si>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</si>
  <si>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</si>
  <si>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</si>
  <si>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</si>
  <si>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</si>
  <si>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</si>
  <si>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</si>
  <si>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</si>
  <si>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</si>
  <si>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</si>
  <si>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</si>
  <si>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</si>
  <si>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</si>
  <si>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</si>
  <si>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</si>
  <si>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</si>
  <si>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</si>
  <si>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</si>
  <si>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</si>
  <si>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</si>
  <si>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</si>
  <si>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</si>
  <si>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</si>
  <si>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</si>
  <si>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</si>
  <si>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</si>
  <si>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</si>
  <si>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</si>
  <si>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</si>
  <si>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</si>
  <si>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</si>
  <si>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</si>
  <si>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</si>
  <si>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</si>
  <si>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</si>
  <si>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</si>
  <si>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</si>
  <si>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</si>
  <si>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</si>
  <si>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</si>
  <si>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</si>
  <si>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</si>
  <si>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</si>
  <si>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</si>
  <si>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</si>
  <si>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</si>
  <si>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</si>
  <si>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</si>
  <si>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</si>
  <si>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</si>
  <si>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</si>
  <si>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</si>
  <si>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</si>
  <si>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</si>
  <si>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</si>
  <si>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</si>
  <si>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</si>
  <si>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</si>
  <si>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</si>
  <si>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</si>
  <si>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</si>
  <si>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</si>
  <si>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</si>
  <si>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</si>
  <si>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</si>
  <si>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</si>
  <si>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</si>
  <si>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</si>
  <si>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</si>
  <si>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</si>
  <si>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</si>
  <si>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</si>
  <si>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</si>
  <si>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</si>
  <si>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975 Manhattan, LLC</t>
  </si>
  <si>
    <t>975 Manhattan</t>
  </si>
  <si>
    <t>January</t>
  </si>
  <si>
    <t>Miki Nam</t>
  </si>
  <si>
    <t>Timothy Elliot</t>
  </si>
  <si>
    <t>1200 W 7th Street, 8th Floor</t>
  </si>
  <si>
    <t>timothy.elliott@lacity.org</t>
  </si>
  <si>
    <t>975 S Manhattan Place</t>
  </si>
  <si>
    <t>5080-001-005, 5080-001-006, 5080-001-007</t>
  </si>
  <si>
    <t>40%/60% Average Income</t>
  </si>
  <si>
    <t>3470 Wilshire Blvd, Suite 700</t>
  </si>
  <si>
    <t>CA</t>
  </si>
  <si>
    <t>Garrett Lee</t>
  </si>
  <si>
    <t>garrettlee@jamisonservices.com</t>
  </si>
  <si>
    <t>Arden Development, Inc.</t>
  </si>
  <si>
    <t>Administrative GP</t>
  </si>
  <si>
    <t>Kingdom AX LLC</t>
  </si>
  <si>
    <t>6451 Box Springs Blvd.</t>
  </si>
  <si>
    <t>Managing GP</t>
  </si>
  <si>
    <t xml:space="preserve">Riverside </t>
  </si>
  <si>
    <t>William Leach</t>
  </si>
  <si>
    <t>william@kingdomdevelopment.net</t>
  </si>
  <si>
    <t xml:space="preserve">Kingdom Development, Inc. </t>
  </si>
  <si>
    <t>Kingdom Development, Inc.</t>
  </si>
  <si>
    <t>Consultant and Sole Member of the MGP</t>
  </si>
  <si>
    <t>3470 Wilshire Blvd. #700</t>
  </si>
  <si>
    <t>Los Angeles, CA 90010</t>
  </si>
  <si>
    <t>DFH Architects, LLP</t>
  </si>
  <si>
    <t>1544 20th St.</t>
  </si>
  <si>
    <t>Santa Monica, CA 90404</t>
  </si>
  <si>
    <t>James Fischer</t>
  </si>
  <si>
    <t>fischer@dfhaia.com</t>
  </si>
  <si>
    <t>Bocarsly Emden Cowan Esmail &amp; Arndt LLP</t>
  </si>
  <si>
    <t>633 W 5th Street, Suite 5880</t>
  </si>
  <si>
    <t>Los Angeles, CA 90071</t>
  </si>
  <si>
    <t>Kyle Arndt</t>
  </si>
  <si>
    <t>(213) 559-0747</t>
  </si>
  <si>
    <t>karndt@bocarsly.com</t>
  </si>
  <si>
    <t>Wilshire Construction</t>
  </si>
  <si>
    <t>3470 Wilshire Blvd. #500</t>
  </si>
  <si>
    <t>Novogradac &amp; Company LLP</t>
  </si>
  <si>
    <t>PO Box 7833</t>
  </si>
  <si>
    <t>San Francisco, CA 94120-7833</t>
  </si>
  <si>
    <t>Melissa Chung</t>
  </si>
  <si>
    <t>melissa.chung@novoco.com</t>
  </si>
  <si>
    <t>6451 Box Springs Blvd</t>
  </si>
  <si>
    <t>Riverside, CA 92507</t>
  </si>
  <si>
    <t>The Concord Group</t>
  </si>
  <si>
    <t>140 Newport Center Drive, Suite 210</t>
  </si>
  <si>
    <t>Newport Beach, CA 92660</t>
  </si>
  <si>
    <t>Michael Reynolds</t>
  </si>
  <si>
    <t>mdr@theconcordgroup.com</t>
  </si>
  <si>
    <t>Kidder Matthews</t>
  </si>
  <si>
    <t>601 S. Figueroa St. Suite 2700</t>
  </si>
  <si>
    <t>Los Angeles, CA 90017</t>
  </si>
  <si>
    <t>Bill Drewes</t>
  </si>
  <si>
    <t>213-225-7245</t>
  </si>
  <si>
    <t>bill.drewes@kidder.com</t>
  </si>
  <si>
    <t>California Municipal Finance Authority</t>
  </si>
  <si>
    <t>2111 Palomar Airport Rd., Suite 320</t>
  </si>
  <si>
    <t>Carlsbad, CA 92011</t>
  </si>
  <si>
    <t>Anthony Stubbs</t>
  </si>
  <si>
    <t>760-930-1333</t>
  </si>
  <si>
    <t>astubbs@cmfa-ca.com</t>
  </si>
  <si>
    <t>Aperto Property Management, Inc.</t>
  </si>
  <si>
    <t>2 Venture, Suite 525</t>
  </si>
  <si>
    <t>Irvine, CA 92618</t>
  </si>
  <si>
    <t>Ed Quigley</t>
  </si>
  <si>
    <t>edquigley@apertopm.com</t>
  </si>
  <si>
    <t>Secured by Leasehold Interest</t>
  </si>
  <si>
    <t>Other (Specify below)</t>
  </si>
  <si>
    <t xml:space="preserve">The project is a 7 story building. </t>
  </si>
  <si>
    <t xml:space="preserve">High-Medium Residential </t>
  </si>
  <si>
    <t>R4-1</t>
  </si>
  <si>
    <t>C2-1-O</t>
  </si>
  <si>
    <t>Fixed</t>
  </si>
  <si>
    <t>Deferred Costs</t>
  </si>
  <si>
    <t>Deferred Costs &amp; Fees</t>
  </si>
  <si>
    <t>CEO of the sole manager of the AGP</t>
  </si>
  <si>
    <t>Office supplies, postage, expenses, copier, software licensing, toner</t>
  </si>
  <si>
    <t>payroll tax and benefits</t>
  </si>
  <si>
    <t>Fire Safety, Supplies, HVAC, Tools, &amp; Appliances</t>
  </si>
  <si>
    <t>Bond Issuer Fees</t>
  </si>
  <si>
    <t>HACLA</t>
  </si>
  <si>
    <t>(Air Conditioning)</t>
  </si>
  <si>
    <t>Korea Town, LP and 4322 Wilshire, LLC (together)</t>
  </si>
  <si>
    <t>300 S Grand Avenue, Suite 3110</t>
  </si>
  <si>
    <t>Hao Li</t>
  </si>
  <si>
    <t>n/a</t>
  </si>
  <si>
    <t>(Tax-Exempt Recycled Bonds)</t>
  </si>
  <si>
    <t>R4 Capital</t>
  </si>
  <si>
    <t>Cory Bannister</t>
  </si>
  <si>
    <t>R4 Capital - Tax Credit Proceeds</t>
  </si>
  <si>
    <t>Above residual receipts line for cash flow</t>
  </si>
  <si>
    <t>Citi - Perm Bond Proceeds</t>
  </si>
  <si>
    <t>Citi - Tax Exempt</t>
  </si>
  <si>
    <t>Citi - Taxable</t>
  </si>
  <si>
    <t xml:space="preserve">Citi - Recycled Bonds </t>
  </si>
  <si>
    <t>AGP Fee</t>
  </si>
  <si>
    <t>(Bulk Internet, Keycards replacement, NSF, Move out/Other)</t>
  </si>
  <si>
    <t>895 Dove Street</t>
  </si>
  <si>
    <t>cbannister@r4cap.com</t>
  </si>
  <si>
    <t>Newport Beach</t>
  </si>
  <si>
    <t>Equity</t>
  </si>
  <si>
    <t>Provided</t>
  </si>
  <si>
    <t>Not Applicable</t>
  </si>
  <si>
    <t>Limited Liability Company</t>
  </si>
  <si>
    <t>85'</t>
  </si>
  <si>
    <t>Arden Residential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</si>
</sst>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7229">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9">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18" fillId="0" borderId="11" xfId="543" applyBorder="1" applyAlignment="1">
      <alignment horizontal="center"/>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25" fillId="0" borderId="6" xfId="0" applyFont="1" applyBorder="1" applyAlignment="1">
      <alignment horizontal="center"/>
    </xf>
    <xf numFmtId="0" fontId="25" fillId="0" borderId="10" xfId="0"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18" fillId="5" borderId="4" xfId="0" applyFont="1" applyFill="1" applyBorder="1" applyAlignment="1" applyProtection="1">
      <alignment wrapText="1"/>
      <protection locked="0"/>
    </xf>
    <xf numFmtId="0" fontId="27"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8" fillId="5" borderId="11" xfId="0" applyFont="1" applyFill="1" applyBorder="1" applyAlignment="1" applyProtection="1">
      <alignment horizontal="left" vertical="center" wrapText="1"/>
      <protection locked="0"/>
    </xf>
    <xf numFmtId="0" fontId="18" fillId="5" borderId="11" xfId="0" applyFont="1" applyFill="1" applyBorder="1" applyAlignment="1" applyProtection="1">
      <alignment vertical="center" wrapText="1"/>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5" fillId="0" borderId="3" xfId="0" applyFont="1" applyBorder="1" applyAlignment="1">
      <alignment horizontal="center"/>
    </xf>
    <xf numFmtId="0" fontId="25" fillId="0" borderId="4"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0" borderId="3" xfId="0" applyFont="1" applyBorder="1" applyAlignment="1">
      <alignment horizontal="left"/>
    </xf>
    <xf numFmtId="1" fontId="27"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0" fontId="18" fillId="0" borderId="4" xfId="0" applyFont="1" applyBorder="1" applyAlignment="1">
      <alignment horizontal="left"/>
    </xf>
    <xf numFmtId="0" fontId="18" fillId="0" borderId="5" xfId="0" applyFont="1" applyBorder="1" applyAlignment="1">
      <alignment horizontal="left"/>
    </xf>
    <xf numFmtId="168" fontId="0" fillId="43"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1" fontId="18" fillId="5" borderId="6" xfId="0" applyNumberFormat="1" applyFon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8" fillId="5" borderId="4" xfId="0" applyNumberFormat="1" applyFont="1" applyFill="1" applyBorder="1" applyAlignment="1" applyProtection="1">
      <alignment horizontal="right"/>
      <protection locked="0"/>
    </xf>
    <xf numFmtId="14" fontId="27"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6" fontId="18" fillId="5" borderId="4" xfId="0" applyNumberFormat="1"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0" applyNumberFormat="1"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0" fontId="18" fillId="5" borderId="4" xfId="0"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66" fontId="18" fillId="5" borderId="6" xfId="0" applyNumberFormat="1" applyFont="1" applyFill="1" applyBorder="1" applyAlignment="1" applyProtection="1">
      <alignment horizontal="left"/>
      <protection locked="0"/>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5" borderId="6" xfId="0"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78" fontId="27"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43" borderId="4" xfId="0" applyFill="1" applyBorder="1" applyAlignment="1" applyProtection="1">
      <alignment horizontal="center"/>
      <protection locked="0"/>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0" fontId="27" fillId="0" borderId="1" xfId="0" applyFont="1" applyBorder="1" applyAlignment="1">
      <alignment horizontal="center" vertical="top"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8" fillId="5" borderId="11" xfId="0" applyFont="1" applyFill="1" applyBorder="1" applyAlignment="1" applyProtection="1">
      <alignment horizontal="left" wrapText="1"/>
      <protection locked="0"/>
    </xf>
    <xf numFmtId="168" fontId="0" fillId="5" borderId="11" xfId="0" applyNumberFormat="1" applyFill="1" applyBorder="1" applyAlignment="1" applyProtection="1">
      <alignment horizontal="center"/>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6" fillId="0" borderId="0" xfId="0" applyNumberFormat="1" applyFont="1" applyAlignment="1">
      <alignment horizontal="center" vertical="center" wrapText="1"/>
    </xf>
    <xf numFmtId="0" fontId="27" fillId="0" borderId="11" xfId="0" applyFont="1" applyBorder="1" applyAlignment="1">
      <alignment horizontal="center" vertical="top" wrapText="1"/>
    </xf>
    <xf numFmtId="0" fontId="0" fillId="0" borderId="9" xfId="0" applyBorder="1" applyAlignment="1">
      <alignment horizontal="left"/>
    </xf>
    <xf numFmtId="0" fontId="27" fillId="0" borderId="11" xfId="0" applyFont="1" applyBorder="1" applyAlignment="1">
      <alignment horizontal="center"/>
    </xf>
    <xf numFmtId="0" fontId="18" fillId="0" borderId="0" xfId="543" applyAlignment="1">
      <alignment horizontal="center"/>
    </xf>
    <xf numFmtId="168" fontId="0" fillId="5" borderId="11" xfId="0" applyNumberFormat="1" applyFill="1" applyBorder="1" applyAlignment="1" applyProtection="1">
      <alignment horizontal="right"/>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9" fontId="18" fillId="0" borderId="0" xfId="543" applyNumberFormat="1" applyAlignment="1">
      <alignment horizontal="center" vertical="center"/>
    </xf>
    <xf numFmtId="0" fontId="0" fillId="5" borderId="3" xfId="0" applyFill="1" applyBorder="1" applyAlignment="1" applyProtection="1">
      <alignment horizontal="center"/>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8" fillId="0" borderId="0" xfId="543" applyNumberFormat="1" applyAlignment="1">
      <alignment horizontal="center"/>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0" fontId="25" fillId="0" borderId="11" xfId="0" applyFont="1" applyBorder="1" applyAlignment="1">
      <alignment horizontal="center"/>
    </xf>
    <xf numFmtId="0" fontId="18" fillId="0" borderId="3" xfId="0" applyFont="1" applyBorder="1"/>
    <xf numFmtId="0" fontId="18" fillId="0" borderId="4" xfId="0" applyFont="1" applyBorder="1"/>
    <xf numFmtId="0" fontId="18" fillId="0" borderId="5" xfId="0" applyFont="1" applyBorder="1"/>
    <xf numFmtId="0" fontId="25" fillId="0" borderId="2" xfId="0" applyFont="1" applyBorder="1" applyAlignment="1">
      <alignment horizontal="right"/>
    </xf>
    <xf numFmtId="0" fontId="25" fillId="0" borderId="7" xfId="0" applyFont="1" applyBorder="1" applyAlignment="1">
      <alignment horizontal="righ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3" fontId="0" fillId="5" borderId="3"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7" fillId="0" borderId="3" xfId="0" applyFont="1" applyBorder="1" applyAlignment="1">
      <alignment horizontal="left"/>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168" fontId="18" fillId="0" borderId="11" xfId="543" applyNumberFormat="1" applyBorder="1" applyAlignment="1">
      <alignment horizontal="center"/>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1" xfId="0" applyFont="1" applyBorder="1" applyAlignment="1">
      <alignment horizontal="center" vertical="center" wrapText="1"/>
    </xf>
    <xf numFmtId="180" fontId="0" fillId="0" borderId="6" xfId="0" applyNumberFormat="1" applyBorder="1" applyAlignment="1">
      <alignment horizont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25" fillId="0" borderId="9" xfId="0" applyFont="1" applyBorder="1" applyAlignment="1">
      <alignment horizontal="center"/>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17229">
    <cellStyle name="20% - Accent1" xfId="1" builtinId="30" customBuiltin="1"/>
    <cellStyle name="20% - Accent1 10" xfId="4504" xr:uid="{00000000-0005-0000-0000-000001000000}"/>
    <cellStyle name="20% - Accent1 10 2" xfId="13000" xr:uid="{F4C713C8-DD21-44D0-8C09-C5E8F37B9F0C}"/>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61" xr:uid="{56D5DE56-111C-4C7A-93B9-907D56348F9A}"/>
    <cellStyle name="20% - Accent1 2 2 2 2 2 3" xfId="11348" xr:uid="{346C4BDB-C92A-4BA7-8D23-EDEDA29A15B8}"/>
    <cellStyle name="20% - Accent1 2 2 2 2 3" xfId="4921" xr:uid="{00000000-0005-0000-0000-000008000000}"/>
    <cellStyle name="20% - Accent1 2 2 2 2 3 2" xfId="13416" xr:uid="{4ED5E02B-8A11-4081-99FF-83D7EA67B073}"/>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74" xr:uid="{0C3A55F9-8D9F-4CF8-9F8A-46271C81C944}"/>
    <cellStyle name="20% - Accent1 2 2 2 3 2 3" xfId="11761" xr:uid="{A0CD0B90-EA37-4922-AA8F-173E73B87E81}"/>
    <cellStyle name="20% - Accent1 2 2 2 3 3" xfId="5334" xr:uid="{00000000-0005-0000-0000-00000C000000}"/>
    <cellStyle name="20% - Accent1 2 2 2 3 3 2" xfId="13829" xr:uid="{FC1D3BF9-D631-4896-97C4-2C625DA08F1F}"/>
    <cellStyle name="20% - Accent1 2 2 2 3 4" xfId="9616" xr:uid="{D74C4ED8-E75D-4EE9-8C5F-16C81E9C6F7D}"/>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87" xr:uid="{82345581-1186-4703-87B4-E0AEDAEA7F17}"/>
    <cellStyle name="20% - Accent1 2 2 2 4 2 3" xfId="12174" xr:uid="{F1D6393D-9443-46BB-A801-1117ACB0FCAE}"/>
    <cellStyle name="20% - Accent1 2 2 2 4 3" xfId="5747" xr:uid="{00000000-0005-0000-0000-000010000000}"/>
    <cellStyle name="20% - Accent1 2 2 2 4 3 2" xfId="14242" xr:uid="{C6D90DC5-4EDB-4E69-A760-D3D87857B00E}"/>
    <cellStyle name="20% - Accent1 2 2 2 4 4" xfId="10029" xr:uid="{FD652EDE-A2B2-4820-85B9-A617C6EB6552}"/>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800" xr:uid="{412D5F36-DED1-4CC2-A910-7F85035AF6BD}"/>
    <cellStyle name="20% - Accent1 2 2 2 5 2 3" xfId="12587" xr:uid="{182793E9-798B-4F54-AF6C-5055546D190C}"/>
    <cellStyle name="20% - Accent1 2 2 2 5 3" xfId="6160" xr:uid="{00000000-0005-0000-0000-000014000000}"/>
    <cellStyle name="20% - Accent1 2 2 2 5 3 2" xfId="14655" xr:uid="{062F668D-C561-4BBF-AB89-9D5F6A76F056}"/>
    <cellStyle name="20% - Accent1 2 2 2 5 4" xfId="10442" xr:uid="{35C1FCD8-F636-4326-A48A-5BC6D8E474AC}"/>
    <cellStyle name="20% - Accent1 2 2 2 6" xfId="2267" xr:uid="{00000000-0005-0000-0000-000015000000}"/>
    <cellStyle name="20% - Accent1 2 2 2 6 2" xfId="6573" xr:uid="{00000000-0005-0000-0000-000016000000}"/>
    <cellStyle name="20% - Accent1 2 2 2 6 2 2" xfId="15068" xr:uid="{E117F63F-F780-40BA-8BAA-82B1A4299E7B}"/>
    <cellStyle name="20% - Accent1 2 2 2 6 3" xfId="10855" xr:uid="{7993EB77-4CC0-4F63-A45F-8F0D440E8A5B}"/>
    <cellStyle name="20% - Accent1 2 2 2 7" xfId="4507" xr:uid="{00000000-0005-0000-0000-000017000000}"/>
    <cellStyle name="20% - Accent1 2 2 2 7 2" xfId="13003" xr:uid="{8D53C5B0-BF7B-46CD-B152-8B7722358FF5}"/>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60" xr:uid="{6EDBC948-B937-42BD-A653-2359F20938D4}"/>
    <cellStyle name="20% - Accent1 2 2 3 2 3" xfId="11347" xr:uid="{0AF7B9FC-242A-4E56-82A8-8BE5D007FF22}"/>
    <cellStyle name="20% - Accent1 2 2 3 3" xfId="4920" xr:uid="{00000000-0005-0000-0000-00001B000000}"/>
    <cellStyle name="20% - Accent1 2 2 3 3 2" xfId="13415" xr:uid="{856DEF85-5C37-4324-9722-CF297B6F8894}"/>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73" xr:uid="{D13B4B7D-E65D-4FC5-8B1D-8F372CE624B9}"/>
    <cellStyle name="20% - Accent1 2 2 4 2 3" xfId="11760" xr:uid="{3D91A3B5-9AED-4B9E-92B5-D2984CEE7933}"/>
    <cellStyle name="20% - Accent1 2 2 4 3" xfId="5333" xr:uid="{00000000-0005-0000-0000-00001F000000}"/>
    <cellStyle name="20% - Accent1 2 2 4 3 2" xfId="13828" xr:uid="{BCBFF16D-98A6-44EE-9718-46B700172C98}"/>
    <cellStyle name="20% - Accent1 2 2 4 4" xfId="9615" xr:uid="{C00DBB14-AB50-42E8-BE64-901B782A0F05}"/>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86" xr:uid="{0A169775-7ED3-4628-A31E-D47BCABF1612}"/>
    <cellStyle name="20% - Accent1 2 2 5 2 3" xfId="12173" xr:uid="{C9427D10-4DE9-4C3A-A715-28F4BF5CC487}"/>
    <cellStyle name="20% - Accent1 2 2 5 3" xfId="5746" xr:uid="{00000000-0005-0000-0000-000023000000}"/>
    <cellStyle name="20% - Accent1 2 2 5 3 2" xfId="14241" xr:uid="{2AFAB35F-C517-4820-9BF3-8C21AACECA93}"/>
    <cellStyle name="20% - Accent1 2 2 5 4" xfId="10028" xr:uid="{0FEDDD1A-6A13-41DA-8B33-D5ED287CB797}"/>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99" xr:uid="{66E60795-0EC1-4F4E-B3F3-0806290A8319}"/>
    <cellStyle name="20% - Accent1 2 2 6 2 3" xfId="12586" xr:uid="{BFB61D37-8075-4488-AA3A-C1FB773A7BBF}"/>
    <cellStyle name="20% - Accent1 2 2 6 3" xfId="6159" xr:uid="{00000000-0005-0000-0000-000027000000}"/>
    <cellStyle name="20% - Accent1 2 2 6 3 2" xfId="14654" xr:uid="{945EF12A-4B94-4833-8372-A073E6AA4EB0}"/>
    <cellStyle name="20% - Accent1 2 2 6 4" xfId="10441" xr:uid="{D9EB99D2-F858-4D15-A341-3B0246F6476A}"/>
    <cellStyle name="20% - Accent1 2 2 7" xfId="2266" xr:uid="{00000000-0005-0000-0000-000028000000}"/>
    <cellStyle name="20% - Accent1 2 2 7 2" xfId="6572" xr:uid="{00000000-0005-0000-0000-000029000000}"/>
    <cellStyle name="20% - Accent1 2 2 7 2 2" xfId="15067" xr:uid="{CE51198D-9439-4A89-94D3-385CAAF97DDA}"/>
    <cellStyle name="20% - Accent1 2 2 7 3" xfId="10854" xr:uid="{A5079B6D-6C63-4BA8-93D4-D63F7B084E5F}"/>
    <cellStyle name="20% - Accent1 2 2 8" xfId="4506" xr:uid="{00000000-0005-0000-0000-00002A000000}"/>
    <cellStyle name="20% - Accent1 2 2 8 2" xfId="13002" xr:uid="{B0867599-10AE-4ED9-9509-4BD4BF2EAC62}"/>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62" xr:uid="{C1EBC837-0CC8-45E0-96AB-3882BC0CEC8B}"/>
    <cellStyle name="20% - Accent1 2 3 2 2 3" xfId="11349" xr:uid="{3D87FAE2-2DFB-495B-ABE0-DC7800C8EE27}"/>
    <cellStyle name="20% - Accent1 2 3 2 3" xfId="4922" xr:uid="{00000000-0005-0000-0000-00002F000000}"/>
    <cellStyle name="20% - Accent1 2 3 2 3 2" xfId="13417" xr:uid="{1D5C1F8A-7FDB-4D32-BDD9-9C690D00955D}"/>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75" xr:uid="{55E7570B-495A-4E3D-8766-EE2706E10CF8}"/>
    <cellStyle name="20% - Accent1 2 3 3 2 3" xfId="11762" xr:uid="{D0453DBF-8B35-49DD-900F-C4EDF6EBC9F6}"/>
    <cellStyle name="20% - Accent1 2 3 3 3" xfId="5335" xr:uid="{00000000-0005-0000-0000-000033000000}"/>
    <cellStyle name="20% - Accent1 2 3 3 3 2" xfId="13830" xr:uid="{06AD4B31-6E8F-4A43-8ABB-0310D0AD2E2D}"/>
    <cellStyle name="20% - Accent1 2 3 3 4" xfId="9617" xr:uid="{A13298D0-C67A-4EFC-83AC-BFB88EBE6139}"/>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88" xr:uid="{76A56167-BD03-4E4C-B16D-A63B059647B0}"/>
    <cellStyle name="20% - Accent1 2 3 4 2 3" xfId="12175" xr:uid="{F09A40E1-88DF-4351-A6F3-F4F87DB9981D}"/>
    <cellStyle name="20% - Accent1 2 3 4 3" xfId="5748" xr:uid="{00000000-0005-0000-0000-000037000000}"/>
    <cellStyle name="20% - Accent1 2 3 4 3 2" xfId="14243" xr:uid="{5FF1ED22-A688-4818-815B-F00FBBBBD62C}"/>
    <cellStyle name="20% - Accent1 2 3 4 4" xfId="10030" xr:uid="{B3E0D71E-9575-467E-8EE5-B6FB8152EA38}"/>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801" xr:uid="{94FBB357-1381-436E-9E21-FC5F4F9A21EA}"/>
    <cellStyle name="20% - Accent1 2 3 5 2 3" xfId="12588" xr:uid="{A18EBABB-48B7-4D1A-8463-4E0C53BC5055}"/>
    <cellStyle name="20% - Accent1 2 3 5 3" xfId="6161" xr:uid="{00000000-0005-0000-0000-00003B000000}"/>
    <cellStyle name="20% - Accent1 2 3 5 3 2" xfId="14656" xr:uid="{CCB07F73-77BD-48E2-B2ED-01081C7D21CF}"/>
    <cellStyle name="20% - Accent1 2 3 5 4" xfId="10443" xr:uid="{B0F49C0D-FDE3-42A1-A0E7-0E82AF788FBF}"/>
    <cellStyle name="20% - Accent1 2 3 6" xfId="2268" xr:uid="{00000000-0005-0000-0000-00003C000000}"/>
    <cellStyle name="20% - Accent1 2 3 6 2" xfId="6574" xr:uid="{00000000-0005-0000-0000-00003D000000}"/>
    <cellStyle name="20% - Accent1 2 3 6 2 2" xfId="15069" xr:uid="{3287901E-E67A-47F1-B90D-F2EE41E39A74}"/>
    <cellStyle name="20% - Accent1 2 3 6 3" xfId="10856" xr:uid="{B8E2BD4D-A98D-45F9-B4CE-46CDEB266D39}"/>
    <cellStyle name="20% - Accent1 2 3 7" xfId="4508" xr:uid="{00000000-0005-0000-0000-00003E000000}"/>
    <cellStyle name="20% - Accent1 2 3 7 2" xfId="13004" xr:uid="{035A21C8-6C25-46CB-9D0A-36D4AF6A2A4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59" xr:uid="{3960973C-93D2-4AE7-A72B-AF4F181CF263}"/>
    <cellStyle name="20% - Accent1 2 4 2 3" xfId="11346" xr:uid="{67A53115-259B-4E99-A618-E6137FE51BC4}"/>
    <cellStyle name="20% - Accent1 2 4 3" xfId="4919" xr:uid="{00000000-0005-0000-0000-000042000000}"/>
    <cellStyle name="20% - Accent1 2 4 3 2" xfId="13414" xr:uid="{02E4E468-A991-4C96-8CF2-4E6FC99D5FBE}"/>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72" xr:uid="{1E5ED420-66B2-4744-9506-EEFA0BCE6CD9}"/>
    <cellStyle name="20% - Accent1 2 5 2 3" xfId="11759" xr:uid="{4333CB29-C95B-47D9-8D94-2690EFEBDBA1}"/>
    <cellStyle name="20% - Accent1 2 5 3" xfId="5332" xr:uid="{00000000-0005-0000-0000-000046000000}"/>
    <cellStyle name="20% - Accent1 2 5 3 2" xfId="13827" xr:uid="{11F1D5CC-F89A-4C97-9685-0DCB4A0002F7}"/>
    <cellStyle name="20% - Accent1 2 5 4" xfId="9614" xr:uid="{9FDC0D89-7DFA-47A7-8A70-47DD4A300484}"/>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85" xr:uid="{BBD7A55C-B01C-44A9-BA7D-4A32667D7F4D}"/>
    <cellStyle name="20% - Accent1 2 6 2 3" xfId="12172" xr:uid="{F814313A-0229-4D48-8855-D243293E8E3E}"/>
    <cellStyle name="20% - Accent1 2 6 3" xfId="5745" xr:uid="{00000000-0005-0000-0000-00004A000000}"/>
    <cellStyle name="20% - Accent1 2 6 3 2" xfId="14240" xr:uid="{97AFEA6C-4E92-4E92-A7CB-011A0F361B08}"/>
    <cellStyle name="20% - Accent1 2 6 4" xfId="10027" xr:uid="{C0F14449-E2AB-4C72-A4E3-B3B0E8F8E0A7}"/>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98" xr:uid="{EC3444B8-D1B6-49CC-A2BD-7DCC02BACA6C}"/>
    <cellStyle name="20% - Accent1 2 7 2 3" xfId="12585" xr:uid="{6FADF053-2701-4CF0-81BA-B73522827750}"/>
    <cellStyle name="20% - Accent1 2 7 3" xfId="6158" xr:uid="{00000000-0005-0000-0000-00004E000000}"/>
    <cellStyle name="20% - Accent1 2 7 3 2" xfId="14653" xr:uid="{791E9A45-DC34-44C5-8761-E08C8BE6784D}"/>
    <cellStyle name="20% - Accent1 2 7 4" xfId="10440" xr:uid="{C21854B1-4607-402B-97C8-3270D9F8A1C6}"/>
    <cellStyle name="20% - Accent1 2 8" xfId="2265" xr:uid="{00000000-0005-0000-0000-00004F000000}"/>
    <cellStyle name="20% - Accent1 2 8 2" xfId="6571" xr:uid="{00000000-0005-0000-0000-000050000000}"/>
    <cellStyle name="20% - Accent1 2 8 2 2" xfId="15066" xr:uid="{AE8D56A8-5C7B-4D9C-B9B6-15FF4BBFA7F6}"/>
    <cellStyle name="20% - Accent1 2 8 3" xfId="10853" xr:uid="{22F484BB-8E98-45B7-B52B-4C82E2A30178}"/>
    <cellStyle name="20% - Accent1 2 9" xfId="4505" xr:uid="{00000000-0005-0000-0000-000051000000}"/>
    <cellStyle name="20% - Accent1 2 9 2" xfId="13001" xr:uid="{AAF90E82-3B7C-4C6C-B11D-1A873FFB37E3}"/>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64" xr:uid="{3F9FE65C-CA02-4E19-B57A-A5C9425403B9}"/>
    <cellStyle name="20% - Accent1 3 2 2 2 3" xfId="11351" xr:uid="{5032861B-8658-4772-9A39-01820BDFFC71}"/>
    <cellStyle name="20% - Accent1 3 2 2 3" xfId="4924" xr:uid="{00000000-0005-0000-0000-000057000000}"/>
    <cellStyle name="20% - Accent1 3 2 2 3 2" xfId="13419" xr:uid="{E862DD1C-563D-4CE8-BBB1-8EC8C1AB0487}"/>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77" xr:uid="{08E71942-FD82-47DB-AAD4-BE5718AF8A8D}"/>
    <cellStyle name="20% - Accent1 3 2 3 2 3" xfId="11764" xr:uid="{46C6DE8F-821D-4B76-9BFF-6D5A649C2E90}"/>
    <cellStyle name="20% - Accent1 3 2 3 3" xfId="5337" xr:uid="{00000000-0005-0000-0000-00005B000000}"/>
    <cellStyle name="20% - Accent1 3 2 3 3 2" xfId="13832" xr:uid="{7BC8369F-6A47-4CE0-BE88-EA385AF68F6A}"/>
    <cellStyle name="20% - Accent1 3 2 3 4" xfId="9619" xr:uid="{BE16D43C-FCE3-4721-BAD2-2B9B9C2B3B6D}"/>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90" xr:uid="{EC51F2DE-FA34-49C5-967C-F9B34C366930}"/>
    <cellStyle name="20% - Accent1 3 2 4 2 3" xfId="12177" xr:uid="{F86ECC8C-9B78-4532-9275-66194E79FCB4}"/>
    <cellStyle name="20% - Accent1 3 2 4 3" xfId="5750" xr:uid="{00000000-0005-0000-0000-00005F000000}"/>
    <cellStyle name="20% - Accent1 3 2 4 3 2" xfId="14245" xr:uid="{F587D035-76FF-4297-AA7E-E38BE9D6E4A1}"/>
    <cellStyle name="20% - Accent1 3 2 4 4" xfId="10032" xr:uid="{F1475615-5539-456C-BE6A-AFB6D72CD0AC}"/>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803" xr:uid="{2D3721CA-6591-4726-B865-04F35E4A15A3}"/>
    <cellStyle name="20% - Accent1 3 2 5 2 3" xfId="12590" xr:uid="{A39BEDED-6160-4506-AE02-272F16D603CC}"/>
    <cellStyle name="20% - Accent1 3 2 5 3" xfId="6163" xr:uid="{00000000-0005-0000-0000-000063000000}"/>
    <cellStyle name="20% - Accent1 3 2 5 3 2" xfId="14658" xr:uid="{7F1599B1-5217-4D0F-996F-2FB80A27ECFA}"/>
    <cellStyle name="20% - Accent1 3 2 5 4" xfId="10445" xr:uid="{8D43F29A-0AC7-4E28-BE70-F710EC04AF5C}"/>
    <cellStyle name="20% - Accent1 3 2 6" xfId="2270" xr:uid="{00000000-0005-0000-0000-000064000000}"/>
    <cellStyle name="20% - Accent1 3 2 6 2" xfId="6576" xr:uid="{00000000-0005-0000-0000-000065000000}"/>
    <cellStyle name="20% - Accent1 3 2 6 2 2" xfId="15071" xr:uid="{B799EAEB-3D2A-44C6-BEA1-A564D04A8504}"/>
    <cellStyle name="20% - Accent1 3 2 6 3" xfId="10858" xr:uid="{7D410144-F1AB-4082-8C32-581BFDD5558F}"/>
    <cellStyle name="20% - Accent1 3 2 7" xfId="4510" xr:uid="{00000000-0005-0000-0000-000066000000}"/>
    <cellStyle name="20% - Accent1 3 2 7 2" xfId="13006" xr:uid="{48F7FE89-3323-4349-8FF6-E5972F7B036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63" xr:uid="{6175EA29-E9C2-44DD-9D18-E41827B258D8}"/>
    <cellStyle name="20% - Accent1 3 3 2 3" xfId="11350" xr:uid="{611F14EF-6616-4A9B-B13F-2A3E4B657B15}"/>
    <cellStyle name="20% - Accent1 3 3 3" xfId="4923" xr:uid="{00000000-0005-0000-0000-00006A000000}"/>
    <cellStyle name="20% - Accent1 3 3 3 2" xfId="13418" xr:uid="{92800AE0-97F4-4954-B453-890F147820A1}"/>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76" xr:uid="{2DC43810-6D01-4ECF-91D6-79A9BEE214B6}"/>
    <cellStyle name="20% - Accent1 3 4 2 3" xfId="11763" xr:uid="{4956864D-DEE0-414C-81BA-2C46CE2C39BC}"/>
    <cellStyle name="20% - Accent1 3 4 3" xfId="5336" xr:uid="{00000000-0005-0000-0000-00006E000000}"/>
    <cellStyle name="20% - Accent1 3 4 3 2" xfId="13831" xr:uid="{48E8A3C0-CFDB-461C-BF53-C0A354608820}"/>
    <cellStyle name="20% - Accent1 3 4 4" xfId="9618" xr:uid="{D7A5B0C6-918F-4A15-AD9F-20DA564EBD61}"/>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89" xr:uid="{34149A51-856C-4618-A8E5-655AC5562DCB}"/>
    <cellStyle name="20% - Accent1 3 5 2 3" xfId="12176" xr:uid="{A7A70844-9DA9-4168-A800-0D56CD8999AD}"/>
    <cellStyle name="20% - Accent1 3 5 3" xfId="5749" xr:uid="{00000000-0005-0000-0000-000072000000}"/>
    <cellStyle name="20% - Accent1 3 5 3 2" xfId="14244" xr:uid="{447C5908-A38E-4B1A-AB19-1BCF92BB3973}"/>
    <cellStyle name="20% - Accent1 3 5 4" xfId="10031" xr:uid="{60AA5D2B-B093-467B-8B96-2366F4B745B8}"/>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802" xr:uid="{D8D137EE-B7A8-4D6D-9A79-31C33834D493}"/>
    <cellStyle name="20% - Accent1 3 6 2 3" xfId="12589" xr:uid="{891D6105-C1CF-4215-994A-982167E4BBFD}"/>
    <cellStyle name="20% - Accent1 3 6 3" xfId="6162" xr:uid="{00000000-0005-0000-0000-000076000000}"/>
    <cellStyle name="20% - Accent1 3 6 3 2" xfId="14657" xr:uid="{4E4BBDB6-0A8A-45FB-A30D-E3A6494A9229}"/>
    <cellStyle name="20% - Accent1 3 6 4" xfId="10444" xr:uid="{172D74D1-4033-4E26-84A4-F2326255E57F}"/>
    <cellStyle name="20% - Accent1 3 7" xfId="2269" xr:uid="{00000000-0005-0000-0000-000077000000}"/>
    <cellStyle name="20% - Accent1 3 7 2" xfId="6575" xr:uid="{00000000-0005-0000-0000-000078000000}"/>
    <cellStyle name="20% - Accent1 3 7 2 2" xfId="15070" xr:uid="{43A0DCC4-54B0-4195-B62E-5385C57C8F4F}"/>
    <cellStyle name="20% - Accent1 3 7 3" xfId="10857" xr:uid="{09802D43-BBF5-4835-9E7F-6EBF22CD263E}"/>
    <cellStyle name="20% - Accent1 3 8" xfId="4509" xr:uid="{00000000-0005-0000-0000-000079000000}"/>
    <cellStyle name="20% - Accent1 3 8 2" xfId="13005" xr:uid="{6880BD53-1BCF-4BF9-BE4E-7593A779ECC7}"/>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65" xr:uid="{5FB5C340-76D8-4A31-8706-D2C414441165}"/>
    <cellStyle name="20% - Accent1 4 2 2 3" xfId="11352" xr:uid="{DE1B63ED-E243-42E0-B082-1E0CF9DB768C}"/>
    <cellStyle name="20% - Accent1 4 2 3" xfId="4925" xr:uid="{00000000-0005-0000-0000-00007E000000}"/>
    <cellStyle name="20% - Accent1 4 2 3 2" xfId="13420" xr:uid="{A1B013F7-7BC3-4813-9DBD-251625F36432}"/>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78" xr:uid="{2EAF9C6E-2229-473F-A565-7289E4CCCC85}"/>
    <cellStyle name="20% - Accent1 4 3 2 3" xfId="11765" xr:uid="{BA1BFEB7-F936-44D0-B85F-A82259E4CE7C}"/>
    <cellStyle name="20% - Accent1 4 3 3" xfId="5338" xr:uid="{00000000-0005-0000-0000-000082000000}"/>
    <cellStyle name="20% - Accent1 4 3 3 2" xfId="13833" xr:uid="{AFAA3B9A-B031-4728-A58F-E100BA9AEAE8}"/>
    <cellStyle name="20% - Accent1 4 3 4" xfId="9620" xr:uid="{782EA6CD-572A-4521-99B4-3684210612B6}"/>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91" xr:uid="{5B72B283-6A21-4D0F-AB99-426D200C2661}"/>
    <cellStyle name="20% - Accent1 4 4 2 3" xfId="12178" xr:uid="{30A6372B-0BBE-4D37-B82F-9428B1A5E87F}"/>
    <cellStyle name="20% - Accent1 4 4 3" xfId="5751" xr:uid="{00000000-0005-0000-0000-000086000000}"/>
    <cellStyle name="20% - Accent1 4 4 3 2" xfId="14246" xr:uid="{7414EB2D-8074-478C-94F0-CB5B5A5E93F3}"/>
    <cellStyle name="20% - Accent1 4 4 4" xfId="10033" xr:uid="{4742883B-C567-4B74-9BB4-19AE1906C2DB}"/>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804" xr:uid="{EAE4AFDB-162D-4C2F-BDC7-E5D2871872C8}"/>
    <cellStyle name="20% - Accent1 4 5 2 3" xfId="12591" xr:uid="{EA04829C-AAAA-4AF3-B440-B0EBBE437E27}"/>
    <cellStyle name="20% - Accent1 4 5 3" xfId="6164" xr:uid="{00000000-0005-0000-0000-00008A000000}"/>
    <cellStyle name="20% - Accent1 4 5 3 2" xfId="14659" xr:uid="{A969211D-95F3-4A7D-B3DC-12BB174BF257}"/>
    <cellStyle name="20% - Accent1 4 5 4" xfId="10446" xr:uid="{CCC6582D-E54C-4D04-871E-9719B8D111B6}"/>
    <cellStyle name="20% - Accent1 4 6" xfId="2271" xr:uid="{00000000-0005-0000-0000-00008B000000}"/>
    <cellStyle name="20% - Accent1 4 6 2" xfId="6577" xr:uid="{00000000-0005-0000-0000-00008C000000}"/>
    <cellStyle name="20% - Accent1 4 6 2 2" xfId="15072" xr:uid="{A38B139B-5539-4F3A-9BF9-30388D1E7F6B}"/>
    <cellStyle name="20% - Accent1 4 6 3" xfId="10859" xr:uid="{E5B759E0-5276-4408-B581-89C5F66C3FC4}"/>
    <cellStyle name="20% - Accent1 4 7" xfId="4511" xr:uid="{00000000-0005-0000-0000-00008D000000}"/>
    <cellStyle name="20% - Accent1 4 7 2" xfId="13007" xr:uid="{701F6B44-2D9D-4E2F-B600-EC9166F40DE1}"/>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2 2 2" xfId="15558" xr:uid="{5A637A74-F43E-4BCF-B871-8CC5494040E3}"/>
    <cellStyle name="20% - Accent1 5 2 3" xfId="11345" xr:uid="{EFAB2BE7-EE20-4018-85BB-49CD59B3C6F1}"/>
    <cellStyle name="20% - Accent1 5 3" xfId="4918" xr:uid="{00000000-0005-0000-0000-000091000000}"/>
    <cellStyle name="20% - Accent1 5 3 2" xfId="13413" xr:uid="{A61C45DB-0658-41DD-8BC3-37C027EC9939}"/>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2 2 2" xfId="15971" xr:uid="{A4B6EB82-D282-424B-99CF-E5DD280927FF}"/>
    <cellStyle name="20% - Accent1 6 2 3" xfId="11758" xr:uid="{C8E01804-71FD-4DCD-85AA-28FB02F35483}"/>
    <cellStyle name="20% - Accent1 6 3" xfId="5331" xr:uid="{00000000-0005-0000-0000-000095000000}"/>
    <cellStyle name="20% - Accent1 6 3 2" xfId="13826" xr:uid="{18F3AD52-A517-4D04-B377-5FA1AEC421A6}"/>
    <cellStyle name="20% - Accent1 6 4" xfId="9613" xr:uid="{46BA4546-C75D-45CA-9D58-1620E0C816D8}"/>
    <cellStyle name="20% - Accent1 7" xfId="1437" xr:uid="{00000000-0005-0000-0000-000096000000}"/>
    <cellStyle name="20% - Accent1 7 2" xfId="3667" xr:uid="{00000000-0005-0000-0000-000097000000}"/>
    <cellStyle name="20% - Accent1 7 2 2" xfId="7889" xr:uid="{00000000-0005-0000-0000-000098000000}"/>
    <cellStyle name="20% - Accent1 7 2 2 2" xfId="16384" xr:uid="{1CC99154-442C-4FD6-AC26-BF8B1B36FC27}"/>
    <cellStyle name="20% - Accent1 7 2 3" xfId="12171" xr:uid="{5BC9852B-83F9-42E8-A118-D9C81F564B2E}"/>
    <cellStyle name="20% - Accent1 7 3" xfId="5744" xr:uid="{00000000-0005-0000-0000-000099000000}"/>
    <cellStyle name="20% - Accent1 7 3 2" xfId="14239" xr:uid="{E1ABCDF0-7F59-41B0-9E1A-4AD1A8DD52E0}"/>
    <cellStyle name="20% - Accent1 7 4" xfId="10026" xr:uid="{000929E5-6A1C-4D52-99F3-91BA2F844E2B}"/>
    <cellStyle name="20% - Accent1 8" xfId="1851" xr:uid="{00000000-0005-0000-0000-00009A000000}"/>
    <cellStyle name="20% - Accent1 8 2" xfId="4080" xr:uid="{00000000-0005-0000-0000-00009B000000}"/>
    <cellStyle name="20% - Accent1 8 2 2" xfId="8302" xr:uid="{00000000-0005-0000-0000-00009C000000}"/>
    <cellStyle name="20% - Accent1 8 2 2 2" xfId="16797" xr:uid="{89986F5F-981D-49B5-893D-B684B9E9527B}"/>
    <cellStyle name="20% - Accent1 8 2 3" xfId="12584" xr:uid="{E0E02376-CC21-49B6-ABB8-DEAC46C2B0BE}"/>
    <cellStyle name="20% - Accent1 8 3" xfId="6157" xr:uid="{00000000-0005-0000-0000-00009D000000}"/>
    <cellStyle name="20% - Accent1 8 3 2" xfId="14652" xr:uid="{41B06CD9-5FE4-420D-BB08-9EA9591BA8E5}"/>
    <cellStyle name="20% - Accent1 8 4" xfId="10439" xr:uid="{D37962B3-A94C-4FEC-9607-D4567F23BFAF}"/>
    <cellStyle name="20% - Accent1 9" xfId="2264" xr:uid="{00000000-0005-0000-0000-00009E000000}"/>
    <cellStyle name="20% - Accent1 9 2" xfId="6570" xr:uid="{00000000-0005-0000-0000-00009F000000}"/>
    <cellStyle name="20% - Accent1 9 2 2" xfId="15065" xr:uid="{245C8C2D-5461-4D09-AA11-3F92A2533B8F}"/>
    <cellStyle name="20% - Accent1 9 3" xfId="10852" xr:uid="{D7CB2A41-7E66-448C-87C0-09C396E3B033}"/>
    <cellStyle name="20% - Accent2" xfId="9" builtinId="34" customBuiltin="1"/>
    <cellStyle name="20% - Accent2 10" xfId="4512" xr:uid="{00000000-0005-0000-0000-0000A1000000}"/>
    <cellStyle name="20% - Accent2 10 2" xfId="13008" xr:uid="{6DFDFEED-FC88-42BA-950D-31035729A65E}"/>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69" xr:uid="{36973580-B5A7-466C-BD27-E53C63A6846A}"/>
    <cellStyle name="20% - Accent2 2 2 2 2 2 3" xfId="11356" xr:uid="{52971D55-BECE-49F0-B18B-BDB06235A2FA}"/>
    <cellStyle name="20% - Accent2 2 2 2 2 3" xfId="4929" xr:uid="{00000000-0005-0000-0000-0000A8000000}"/>
    <cellStyle name="20% - Accent2 2 2 2 2 3 2" xfId="13424" xr:uid="{180E2B25-20F4-4211-9F38-241FD4DA202F}"/>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82" xr:uid="{DF3836A0-8C7C-43CE-8707-02916D1F4928}"/>
    <cellStyle name="20% - Accent2 2 2 2 3 2 3" xfId="11769" xr:uid="{DD8E9573-F6A9-474D-88E7-A9158C63147F}"/>
    <cellStyle name="20% - Accent2 2 2 2 3 3" xfId="5342" xr:uid="{00000000-0005-0000-0000-0000AC000000}"/>
    <cellStyle name="20% - Accent2 2 2 2 3 3 2" xfId="13837" xr:uid="{51859CC8-A64B-45A5-AD6B-74216781D190}"/>
    <cellStyle name="20% - Accent2 2 2 2 3 4" xfId="9624" xr:uid="{5A52AB68-62E1-4B2E-8FA5-A27DAE381FFA}"/>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95" xr:uid="{217D657B-D84E-4FB6-93C8-5A92A2ADC270}"/>
    <cellStyle name="20% - Accent2 2 2 2 4 2 3" xfId="12182" xr:uid="{76ED8CDC-0C2D-444B-92C7-86B894E21874}"/>
    <cellStyle name="20% - Accent2 2 2 2 4 3" xfId="5755" xr:uid="{00000000-0005-0000-0000-0000B0000000}"/>
    <cellStyle name="20% - Accent2 2 2 2 4 3 2" xfId="14250" xr:uid="{7B6EBB87-844D-406D-B027-8E2998CFA17D}"/>
    <cellStyle name="20% - Accent2 2 2 2 4 4" xfId="10037" xr:uid="{1E17BE8A-B98F-4229-982A-2EABF605933E}"/>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808" xr:uid="{AFA0FB50-B363-4E12-B4FA-FFA78A5E8810}"/>
    <cellStyle name="20% - Accent2 2 2 2 5 2 3" xfId="12595" xr:uid="{C2C5DB23-B5FF-4820-85D9-E45AD6F60722}"/>
    <cellStyle name="20% - Accent2 2 2 2 5 3" xfId="6168" xr:uid="{00000000-0005-0000-0000-0000B4000000}"/>
    <cellStyle name="20% - Accent2 2 2 2 5 3 2" xfId="14663" xr:uid="{FEBEF56A-E87A-487A-BF57-80BFBB818EC4}"/>
    <cellStyle name="20% - Accent2 2 2 2 5 4" xfId="10450" xr:uid="{85BB9B2E-9612-45AA-831B-C55A7A09F681}"/>
    <cellStyle name="20% - Accent2 2 2 2 6" xfId="2275" xr:uid="{00000000-0005-0000-0000-0000B5000000}"/>
    <cellStyle name="20% - Accent2 2 2 2 6 2" xfId="6581" xr:uid="{00000000-0005-0000-0000-0000B6000000}"/>
    <cellStyle name="20% - Accent2 2 2 2 6 2 2" xfId="15076" xr:uid="{A46E03B5-27CC-477A-9822-565221BC76A7}"/>
    <cellStyle name="20% - Accent2 2 2 2 6 3" xfId="10863" xr:uid="{C083225C-1DE8-4F87-AA5C-0736B93891D2}"/>
    <cellStyle name="20% - Accent2 2 2 2 7" xfId="4515" xr:uid="{00000000-0005-0000-0000-0000B7000000}"/>
    <cellStyle name="20% - Accent2 2 2 2 7 2" xfId="13011" xr:uid="{6EF93D3B-D255-472A-A100-AC5D65690596}"/>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68" xr:uid="{2E16D821-FDB3-4D33-9C3D-669E03F24F9E}"/>
    <cellStyle name="20% - Accent2 2 2 3 2 3" xfId="11355" xr:uid="{81383538-FE57-4A30-89A4-D211CCEB7658}"/>
    <cellStyle name="20% - Accent2 2 2 3 3" xfId="4928" xr:uid="{00000000-0005-0000-0000-0000BB000000}"/>
    <cellStyle name="20% - Accent2 2 2 3 3 2" xfId="13423" xr:uid="{150A12AB-A8C8-43EF-B374-EADF813027D4}"/>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81" xr:uid="{DDDF54EF-56DF-482F-87FB-73095AC5544F}"/>
    <cellStyle name="20% - Accent2 2 2 4 2 3" xfId="11768" xr:uid="{70D090D2-4D3F-4DB4-BCFF-00BDDCA802EE}"/>
    <cellStyle name="20% - Accent2 2 2 4 3" xfId="5341" xr:uid="{00000000-0005-0000-0000-0000BF000000}"/>
    <cellStyle name="20% - Accent2 2 2 4 3 2" xfId="13836" xr:uid="{D36AFF9D-0DAC-4817-B0EF-FA96636E0E16}"/>
    <cellStyle name="20% - Accent2 2 2 4 4" xfId="9623" xr:uid="{7C10822E-BC39-4A54-8117-558B6A39854C}"/>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94" xr:uid="{9DBB46C2-2513-4C30-B558-103EC08FFB99}"/>
    <cellStyle name="20% - Accent2 2 2 5 2 3" xfId="12181" xr:uid="{1497CC20-F14E-4CB3-BFC2-0DDA633AE3A8}"/>
    <cellStyle name="20% - Accent2 2 2 5 3" xfId="5754" xr:uid="{00000000-0005-0000-0000-0000C3000000}"/>
    <cellStyle name="20% - Accent2 2 2 5 3 2" xfId="14249" xr:uid="{05F2DC2F-4617-4DAF-9116-C37422104EFB}"/>
    <cellStyle name="20% - Accent2 2 2 5 4" xfId="10036" xr:uid="{8D4F25A4-A1C8-42C8-9C27-43476B1F15D0}"/>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807" xr:uid="{8491EC4C-2DC6-4B62-A979-96952A1DBE25}"/>
    <cellStyle name="20% - Accent2 2 2 6 2 3" xfId="12594" xr:uid="{9E1DD614-8B4E-4E50-A3CA-A9855138EA9F}"/>
    <cellStyle name="20% - Accent2 2 2 6 3" xfId="6167" xr:uid="{00000000-0005-0000-0000-0000C7000000}"/>
    <cellStyle name="20% - Accent2 2 2 6 3 2" xfId="14662" xr:uid="{72E5DA1F-A47B-4301-9620-0BE230311682}"/>
    <cellStyle name="20% - Accent2 2 2 6 4" xfId="10449" xr:uid="{C042B81F-ECCF-4EA2-A295-12DCF62B7AAD}"/>
    <cellStyle name="20% - Accent2 2 2 7" xfId="2274" xr:uid="{00000000-0005-0000-0000-0000C8000000}"/>
    <cellStyle name="20% - Accent2 2 2 7 2" xfId="6580" xr:uid="{00000000-0005-0000-0000-0000C9000000}"/>
    <cellStyle name="20% - Accent2 2 2 7 2 2" xfId="15075" xr:uid="{20B3E567-AAF7-4400-A055-CA432AD56F99}"/>
    <cellStyle name="20% - Accent2 2 2 7 3" xfId="10862" xr:uid="{E3942A18-BB0A-4E4B-91D3-BEF46EBC7043}"/>
    <cellStyle name="20% - Accent2 2 2 8" xfId="4514" xr:uid="{00000000-0005-0000-0000-0000CA000000}"/>
    <cellStyle name="20% - Accent2 2 2 8 2" xfId="13010" xr:uid="{2FCA9CEC-B9ED-43D2-BD11-BD29D69CB3B9}"/>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70" xr:uid="{100D8919-D48E-415D-9B2A-A5916FADF22C}"/>
    <cellStyle name="20% - Accent2 2 3 2 2 3" xfId="11357" xr:uid="{046C813B-0D00-4A43-9E68-02937F3D537D}"/>
    <cellStyle name="20% - Accent2 2 3 2 3" xfId="4930" xr:uid="{00000000-0005-0000-0000-0000CF000000}"/>
    <cellStyle name="20% - Accent2 2 3 2 3 2" xfId="13425" xr:uid="{9A689B83-A8E5-4E53-B34C-15B0C2F8F44A}"/>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83" xr:uid="{A268D1CB-B8C5-4DAB-B990-835A1C6E0D88}"/>
    <cellStyle name="20% - Accent2 2 3 3 2 3" xfId="11770" xr:uid="{C0508199-8FF5-4888-BECE-9DCCB1DBD751}"/>
    <cellStyle name="20% - Accent2 2 3 3 3" xfId="5343" xr:uid="{00000000-0005-0000-0000-0000D3000000}"/>
    <cellStyle name="20% - Accent2 2 3 3 3 2" xfId="13838" xr:uid="{B7B0E057-57BE-4640-BFE9-F9FB9B4F0CC2}"/>
    <cellStyle name="20% - Accent2 2 3 3 4" xfId="9625" xr:uid="{4147C003-0D81-420D-890F-83AA50B18282}"/>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96" xr:uid="{068E9BB7-82DE-418B-85C2-AB84FCECD8DA}"/>
    <cellStyle name="20% - Accent2 2 3 4 2 3" xfId="12183" xr:uid="{A1451D65-A954-4016-AB48-70C27A17A489}"/>
    <cellStyle name="20% - Accent2 2 3 4 3" xfId="5756" xr:uid="{00000000-0005-0000-0000-0000D7000000}"/>
    <cellStyle name="20% - Accent2 2 3 4 3 2" xfId="14251" xr:uid="{7D074DA7-7537-4BDB-9518-08BC3F710036}"/>
    <cellStyle name="20% - Accent2 2 3 4 4" xfId="10038" xr:uid="{2936BA1D-DA97-4956-87C4-02674DB1540E}"/>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809" xr:uid="{7B953741-775B-40F3-A66D-0D564840EFB6}"/>
    <cellStyle name="20% - Accent2 2 3 5 2 3" xfId="12596" xr:uid="{BC8C18C2-311D-459A-871A-7140C63535DA}"/>
    <cellStyle name="20% - Accent2 2 3 5 3" xfId="6169" xr:uid="{00000000-0005-0000-0000-0000DB000000}"/>
    <cellStyle name="20% - Accent2 2 3 5 3 2" xfId="14664" xr:uid="{033B6AFB-C029-4036-A164-E628E4A3B644}"/>
    <cellStyle name="20% - Accent2 2 3 5 4" xfId="10451" xr:uid="{BB1DBBE2-554B-46FF-A1DC-2A7C736043EF}"/>
    <cellStyle name="20% - Accent2 2 3 6" xfId="2276" xr:uid="{00000000-0005-0000-0000-0000DC000000}"/>
    <cellStyle name="20% - Accent2 2 3 6 2" xfId="6582" xr:uid="{00000000-0005-0000-0000-0000DD000000}"/>
    <cellStyle name="20% - Accent2 2 3 6 2 2" xfId="15077" xr:uid="{4EA470FD-B3D1-46B7-8DB2-42E1A5D7E871}"/>
    <cellStyle name="20% - Accent2 2 3 6 3" xfId="10864" xr:uid="{8937C3A4-2CD5-47F3-B8E0-91207FAD2F1E}"/>
    <cellStyle name="20% - Accent2 2 3 7" xfId="4516" xr:uid="{00000000-0005-0000-0000-0000DE000000}"/>
    <cellStyle name="20% - Accent2 2 3 7 2" xfId="13012" xr:uid="{5078AF07-2D74-4D00-9837-6355DBBC607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67" xr:uid="{C54F2375-1B25-4883-8701-46F544592CB2}"/>
    <cellStyle name="20% - Accent2 2 4 2 3" xfId="11354" xr:uid="{D602D88B-0B57-4920-A0F5-9ED691CC181B}"/>
    <cellStyle name="20% - Accent2 2 4 3" xfId="4927" xr:uid="{00000000-0005-0000-0000-0000E2000000}"/>
    <cellStyle name="20% - Accent2 2 4 3 2" xfId="13422" xr:uid="{8022C1C9-8784-495F-942A-CAA8C449DD98}"/>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80" xr:uid="{6B641EDB-07A4-4FE3-861B-0DAC8D075E9E}"/>
    <cellStyle name="20% - Accent2 2 5 2 3" xfId="11767" xr:uid="{54BC94E9-4675-4232-A4E6-D7E8FA100CB5}"/>
    <cellStyle name="20% - Accent2 2 5 3" xfId="5340" xr:uid="{00000000-0005-0000-0000-0000E6000000}"/>
    <cellStyle name="20% - Accent2 2 5 3 2" xfId="13835" xr:uid="{64281203-2C9C-4DB1-B2E2-F1ABD3A7F76F}"/>
    <cellStyle name="20% - Accent2 2 5 4" xfId="9622" xr:uid="{407B4E59-7019-42CA-8ED6-F539C4B15C5E}"/>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93" xr:uid="{01742182-7A6F-4BAC-9568-29BC3321F742}"/>
    <cellStyle name="20% - Accent2 2 6 2 3" xfId="12180" xr:uid="{E047BB16-49A8-4423-A1AC-5C48ADD78575}"/>
    <cellStyle name="20% - Accent2 2 6 3" xfId="5753" xr:uid="{00000000-0005-0000-0000-0000EA000000}"/>
    <cellStyle name="20% - Accent2 2 6 3 2" xfId="14248" xr:uid="{C06BA647-6077-46BE-8D19-D904B81DF92E}"/>
    <cellStyle name="20% - Accent2 2 6 4" xfId="10035" xr:uid="{33984177-6A42-457C-8A92-7D101DFDA196}"/>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806" xr:uid="{29FC6BCF-1FC6-4D2B-A91F-FF7E6FC7381E}"/>
    <cellStyle name="20% - Accent2 2 7 2 3" xfId="12593" xr:uid="{95159A38-B8D6-4FCD-BF12-27AE596751EB}"/>
    <cellStyle name="20% - Accent2 2 7 3" xfId="6166" xr:uid="{00000000-0005-0000-0000-0000EE000000}"/>
    <cellStyle name="20% - Accent2 2 7 3 2" xfId="14661" xr:uid="{3FEBF5EA-ABF5-49E5-BDFF-A901ABD48D00}"/>
    <cellStyle name="20% - Accent2 2 7 4" xfId="10448" xr:uid="{73D29BA2-D32D-447F-9CA9-EF43D5438142}"/>
    <cellStyle name="20% - Accent2 2 8" xfId="2273" xr:uid="{00000000-0005-0000-0000-0000EF000000}"/>
    <cellStyle name="20% - Accent2 2 8 2" xfId="6579" xr:uid="{00000000-0005-0000-0000-0000F0000000}"/>
    <cellStyle name="20% - Accent2 2 8 2 2" xfId="15074" xr:uid="{35687720-60EE-4754-A6BB-730BC9F94469}"/>
    <cellStyle name="20% - Accent2 2 8 3" xfId="10861" xr:uid="{DBC9C88B-D935-4960-AA96-B0C0CE06F944}"/>
    <cellStyle name="20% - Accent2 2 9" xfId="4513" xr:uid="{00000000-0005-0000-0000-0000F1000000}"/>
    <cellStyle name="20% - Accent2 2 9 2" xfId="13009" xr:uid="{2BF8CAED-DF29-4B51-B848-EE910B6BDFFE}"/>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72" xr:uid="{37AC21A6-0E88-488D-B079-2FA059273363}"/>
    <cellStyle name="20% - Accent2 3 2 2 2 3" xfId="11359" xr:uid="{2C9B8F69-1AF8-4237-ADF9-874F93544AE0}"/>
    <cellStyle name="20% - Accent2 3 2 2 3" xfId="4932" xr:uid="{00000000-0005-0000-0000-0000F7000000}"/>
    <cellStyle name="20% - Accent2 3 2 2 3 2" xfId="13427" xr:uid="{EBF5C077-14EF-4719-B144-37CA9B3875F6}"/>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85" xr:uid="{97CDFDCF-2A4F-4615-AC74-06C002E842C6}"/>
    <cellStyle name="20% - Accent2 3 2 3 2 3" xfId="11772" xr:uid="{316F835C-9ABB-407A-81C3-12A1B3DD4016}"/>
    <cellStyle name="20% - Accent2 3 2 3 3" xfId="5345" xr:uid="{00000000-0005-0000-0000-0000FB000000}"/>
    <cellStyle name="20% - Accent2 3 2 3 3 2" xfId="13840" xr:uid="{810C7245-D38B-43A4-B283-88CFB41B39A5}"/>
    <cellStyle name="20% - Accent2 3 2 3 4" xfId="9627" xr:uid="{1F47D73C-0D68-4292-AEF2-5A96947D483C}"/>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98" xr:uid="{A65CB66E-CFE8-47A7-8BD3-CB0FD6F670BB}"/>
    <cellStyle name="20% - Accent2 3 2 4 2 3" xfId="12185" xr:uid="{3BAD4569-DFC0-4DF0-9B72-878A1E9D6100}"/>
    <cellStyle name="20% - Accent2 3 2 4 3" xfId="5758" xr:uid="{00000000-0005-0000-0000-0000FF000000}"/>
    <cellStyle name="20% - Accent2 3 2 4 3 2" xfId="14253" xr:uid="{6DCAFBB7-544B-4A61-B346-DE28E3100E3C}"/>
    <cellStyle name="20% - Accent2 3 2 4 4" xfId="10040" xr:uid="{C71C0E87-AB85-450A-B4BC-37B284B1F1E4}"/>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811" xr:uid="{5B94EDA0-255A-4C5B-8398-8C693289E03C}"/>
    <cellStyle name="20% - Accent2 3 2 5 2 3" xfId="12598" xr:uid="{6217EDC1-A60A-4007-A003-1C9534D16840}"/>
    <cellStyle name="20% - Accent2 3 2 5 3" xfId="6171" xr:uid="{00000000-0005-0000-0000-000003010000}"/>
    <cellStyle name="20% - Accent2 3 2 5 3 2" xfId="14666" xr:uid="{FC35081F-2875-444C-8958-335572DEDEF2}"/>
    <cellStyle name="20% - Accent2 3 2 5 4" xfId="10453" xr:uid="{81E25F7B-4772-47C8-8C0A-6B3B83D18929}"/>
    <cellStyle name="20% - Accent2 3 2 6" xfId="2278" xr:uid="{00000000-0005-0000-0000-000004010000}"/>
    <cellStyle name="20% - Accent2 3 2 6 2" xfId="6584" xr:uid="{00000000-0005-0000-0000-000005010000}"/>
    <cellStyle name="20% - Accent2 3 2 6 2 2" xfId="15079" xr:uid="{86A780D0-B05F-4EB1-A02A-866A19A5F0F4}"/>
    <cellStyle name="20% - Accent2 3 2 6 3" xfId="10866" xr:uid="{D5BD43DE-4330-43B6-BB7D-4B9C1CDA8D0A}"/>
    <cellStyle name="20% - Accent2 3 2 7" xfId="4518" xr:uid="{00000000-0005-0000-0000-000006010000}"/>
    <cellStyle name="20% - Accent2 3 2 7 2" xfId="13014" xr:uid="{A73F5221-838F-4FDB-88A2-C38F0909C4C7}"/>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71" xr:uid="{0B9EBA02-51F6-4687-B541-4DC201EC652E}"/>
    <cellStyle name="20% - Accent2 3 3 2 3" xfId="11358" xr:uid="{AD1FE448-4D10-430E-A08F-F9D8F55B4CD4}"/>
    <cellStyle name="20% - Accent2 3 3 3" xfId="4931" xr:uid="{00000000-0005-0000-0000-00000A010000}"/>
    <cellStyle name="20% - Accent2 3 3 3 2" xfId="13426" xr:uid="{9AA167F3-4A81-42B1-B666-2FE68BAC3DEF}"/>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84" xr:uid="{CA17DC4E-8B87-4904-9769-5FFE2C80DD8E}"/>
    <cellStyle name="20% - Accent2 3 4 2 3" xfId="11771" xr:uid="{652A2C78-A206-4345-915A-4EAEA05FF70A}"/>
    <cellStyle name="20% - Accent2 3 4 3" xfId="5344" xr:uid="{00000000-0005-0000-0000-00000E010000}"/>
    <cellStyle name="20% - Accent2 3 4 3 2" xfId="13839" xr:uid="{4A66C519-329D-42A8-9456-9C622966FEE6}"/>
    <cellStyle name="20% - Accent2 3 4 4" xfId="9626" xr:uid="{9167F1F0-0236-4E0C-A7F9-269FAAE6090F}"/>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97" xr:uid="{256E1D6B-A851-4FB9-850C-8E419161C928}"/>
    <cellStyle name="20% - Accent2 3 5 2 3" xfId="12184" xr:uid="{7002ABEB-B0CB-4B53-9F46-E255BE7B9C49}"/>
    <cellStyle name="20% - Accent2 3 5 3" xfId="5757" xr:uid="{00000000-0005-0000-0000-000012010000}"/>
    <cellStyle name="20% - Accent2 3 5 3 2" xfId="14252" xr:uid="{96205AEC-24C6-4DA2-89B7-124F1F6EC52A}"/>
    <cellStyle name="20% - Accent2 3 5 4" xfId="10039" xr:uid="{7F546E56-398F-467C-A915-A03330939944}"/>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810" xr:uid="{E8A7EF9F-5259-483C-8ED1-0BF9BC647574}"/>
    <cellStyle name="20% - Accent2 3 6 2 3" xfId="12597" xr:uid="{2EEE4A45-13B6-4F1C-A134-D8296B2885D3}"/>
    <cellStyle name="20% - Accent2 3 6 3" xfId="6170" xr:uid="{00000000-0005-0000-0000-000016010000}"/>
    <cellStyle name="20% - Accent2 3 6 3 2" xfId="14665" xr:uid="{CB9A825A-73A7-4551-BF8D-D63135416190}"/>
    <cellStyle name="20% - Accent2 3 6 4" xfId="10452" xr:uid="{F39A9C9B-87D6-4E6A-9FE9-CACBF90D00A6}"/>
    <cellStyle name="20% - Accent2 3 7" xfId="2277" xr:uid="{00000000-0005-0000-0000-000017010000}"/>
    <cellStyle name="20% - Accent2 3 7 2" xfId="6583" xr:uid="{00000000-0005-0000-0000-000018010000}"/>
    <cellStyle name="20% - Accent2 3 7 2 2" xfId="15078" xr:uid="{561A70AB-26B5-4354-A44B-AB1E0B578987}"/>
    <cellStyle name="20% - Accent2 3 7 3" xfId="10865" xr:uid="{73ED9B20-C25F-43ED-9899-3BF3564BFE91}"/>
    <cellStyle name="20% - Accent2 3 8" xfId="4517" xr:uid="{00000000-0005-0000-0000-000019010000}"/>
    <cellStyle name="20% - Accent2 3 8 2" xfId="13013" xr:uid="{D118AAF5-BF46-4515-B336-806B6E64C95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73" xr:uid="{599388FE-492A-48D8-925E-814185152081}"/>
    <cellStyle name="20% - Accent2 4 2 2 3" xfId="11360" xr:uid="{CB09A1F7-AA8A-442B-98BF-032B12985375}"/>
    <cellStyle name="20% - Accent2 4 2 3" xfId="4933" xr:uid="{00000000-0005-0000-0000-00001E010000}"/>
    <cellStyle name="20% - Accent2 4 2 3 2" xfId="13428" xr:uid="{C3F5AA76-A934-4B98-9C1D-7BFA3902A7C9}"/>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86" xr:uid="{78982C72-2490-4843-82EC-1B55E0A8A412}"/>
    <cellStyle name="20% - Accent2 4 3 2 3" xfId="11773" xr:uid="{B59C3D7F-AB92-4927-8C30-1956C46E72A3}"/>
    <cellStyle name="20% - Accent2 4 3 3" xfId="5346" xr:uid="{00000000-0005-0000-0000-000022010000}"/>
    <cellStyle name="20% - Accent2 4 3 3 2" xfId="13841" xr:uid="{C67F160F-D629-4947-9847-43A0325A5D5B}"/>
    <cellStyle name="20% - Accent2 4 3 4" xfId="9628" xr:uid="{08A9272A-72E8-49B5-8566-11310E26F6FC}"/>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99" xr:uid="{834F2247-27D5-400B-BBA7-AF666801E72E}"/>
    <cellStyle name="20% - Accent2 4 4 2 3" xfId="12186" xr:uid="{88097183-F782-4DCA-A6FA-6AB25ACFF592}"/>
    <cellStyle name="20% - Accent2 4 4 3" xfId="5759" xr:uid="{00000000-0005-0000-0000-000026010000}"/>
    <cellStyle name="20% - Accent2 4 4 3 2" xfId="14254" xr:uid="{99287B45-B1C4-4B0A-9AD9-D9FF34BEFBDF}"/>
    <cellStyle name="20% - Accent2 4 4 4" xfId="10041" xr:uid="{7B00A320-1A91-42FF-BA24-C5002B3A1EA9}"/>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812" xr:uid="{E9537E7B-979A-478D-A0B1-10B1135C2E85}"/>
    <cellStyle name="20% - Accent2 4 5 2 3" xfId="12599" xr:uid="{4197814E-9435-4804-A2DF-BCCD6649F6AD}"/>
    <cellStyle name="20% - Accent2 4 5 3" xfId="6172" xr:uid="{00000000-0005-0000-0000-00002A010000}"/>
    <cellStyle name="20% - Accent2 4 5 3 2" xfId="14667" xr:uid="{17A2DE9D-9CA1-407D-B496-84DD10F5E64D}"/>
    <cellStyle name="20% - Accent2 4 5 4" xfId="10454" xr:uid="{B6E950E1-C2B8-40C4-9040-9B5BFA27931D}"/>
    <cellStyle name="20% - Accent2 4 6" xfId="2279" xr:uid="{00000000-0005-0000-0000-00002B010000}"/>
    <cellStyle name="20% - Accent2 4 6 2" xfId="6585" xr:uid="{00000000-0005-0000-0000-00002C010000}"/>
    <cellStyle name="20% - Accent2 4 6 2 2" xfId="15080" xr:uid="{6C14BE91-EB07-4DB3-8E7E-D78911927A69}"/>
    <cellStyle name="20% - Accent2 4 6 3" xfId="10867" xr:uid="{1498F666-446B-4F66-81D8-9293C7FF4999}"/>
    <cellStyle name="20% - Accent2 4 7" xfId="4519" xr:uid="{00000000-0005-0000-0000-00002D010000}"/>
    <cellStyle name="20% - Accent2 4 7 2" xfId="13015" xr:uid="{48C68A49-FC42-4CD8-8D81-842EF2D69CD8}"/>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2 2 2" xfId="15566" xr:uid="{F090BDF9-F089-4105-8D84-54CB368CB8BD}"/>
    <cellStyle name="20% - Accent2 5 2 3" xfId="11353" xr:uid="{49D1715C-64E5-4D62-B0DC-FF462EAA524F}"/>
    <cellStyle name="20% - Accent2 5 3" xfId="4926" xr:uid="{00000000-0005-0000-0000-000031010000}"/>
    <cellStyle name="20% - Accent2 5 3 2" xfId="13421" xr:uid="{35B28F42-7F35-4FBC-B918-8223450E587C}"/>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2 2 2" xfId="15979" xr:uid="{1244A2D6-3855-42F9-BB60-C4E40905DED2}"/>
    <cellStyle name="20% - Accent2 6 2 3" xfId="11766" xr:uid="{2EFAE41B-7AF3-466B-850A-FAA1202475FD}"/>
    <cellStyle name="20% - Accent2 6 3" xfId="5339" xr:uid="{00000000-0005-0000-0000-000035010000}"/>
    <cellStyle name="20% - Accent2 6 3 2" xfId="13834" xr:uid="{4FC3267E-273F-4F89-9759-8A39DBB70039}"/>
    <cellStyle name="20% - Accent2 6 4" xfId="9621" xr:uid="{35CB2DD7-8E96-48F1-BCDC-26C10F85D2B6}"/>
    <cellStyle name="20% - Accent2 7" xfId="1445" xr:uid="{00000000-0005-0000-0000-000036010000}"/>
    <cellStyle name="20% - Accent2 7 2" xfId="3675" xr:uid="{00000000-0005-0000-0000-000037010000}"/>
    <cellStyle name="20% - Accent2 7 2 2" xfId="7897" xr:uid="{00000000-0005-0000-0000-000038010000}"/>
    <cellStyle name="20% - Accent2 7 2 2 2" xfId="16392" xr:uid="{2E3E5ED4-CCC7-4864-9051-3B5BA593BA32}"/>
    <cellStyle name="20% - Accent2 7 2 3" xfId="12179" xr:uid="{E97F5877-4C9B-48B9-8D21-6EF1AE5B50A3}"/>
    <cellStyle name="20% - Accent2 7 3" xfId="5752" xr:uid="{00000000-0005-0000-0000-000039010000}"/>
    <cellStyle name="20% - Accent2 7 3 2" xfId="14247" xr:uid="{4377156A-4A1D-420D-AD21-10D9B5D7BF0A}"/>
    <cellStyle name="20% - Accent2 7 4" xfId="10034" xr:uid="{CF9BF154-92F9-4745-90DC-18627AD7EA7B}"/>
    <cellStyle name="20% - Accent2 8" xfId="1859" xr:uid="{00000000-0005-0000-0000-00003A010000}"/>
    <cellStyle name="20% - Accent2 8 2" xfId="4088" xr:uid="{00000000-0005-0000-0000-00003B010000}"/>
    <cellStyle name="20% - Accent2 8 2 2" xfId="8310" xr:uid="{00000000-0005-0000-0000-00003C010000}"/>
    <cellStyle name="20% - Accent2 8 2 2 2" xfId="16805" xr:uid="{7E2CB799-71AA-46AD-AF9D-53E188E0FE49}"/>
    <cellStyle name="20% - Accent2 8 2 3" xfId="12592" xr:uid="{8CE643D9-E072-4672-82FE-B5EA78E5F23C}"/>
    <cellStyle name="20% - Accent2 8 3" xfId="6165" xr:uid="{00000000-0005-0000-0000-00003D010000}"/>
    <cellStyle name="20% - Accent2 8 3 2" xfId="14660" xr:uid="{33C1A1C1-C826-4549-B50B-29AA7D3AEB7A}"/>
    <cellStyle name="20% - Accent2 8 4" xfId="10447" xr:uid="{F94BC61B-6B19-4D7D-9FDB-E8DAC359123C}"/>
    <cellStyle name="20% - Accent2 9" xfId="2272" xr:uid="{00000000-0005-0000-0000-00003E010000}"/>
    <cellStyle name="20% - Accent2 9 2" xfId="6578" xr:uid="{00000000-0005-0000-0000-00003F010000}"/>
    <cellStyle name="20% - Accent2 9 2 2" xfId="15073" xr:uid="{EECB7B2F-8E56-4939-87F2-986949F55B34}"/>
    <cellStyle name="20% - Accent2 9 3" xfId="10860" xr:uid="{05FE4288-9600-4BC8-8E78-C1E64C2AC1CA}"/>
    <cellStyle name="20% - Accent3" xfId="17" builtinId="38" customBuiltin="1"/>
    <cellStyle name="20% - Accent3 10" xfId="4520" xr:uid="{00000000-0005-0000-0000-000041010000}"/>
    <cellStyle name="20% - Accent3 10 2" xfId="13016" xr:uid="{9F691B55-2348-43C8-B1FF-47A97A4213A7}"/>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77" xr:uid="{FD3D9ECE-0CC7-4E42-9CA5-D7B72F29C159}"/>
    <cellStyle name="20% - Accent3 2 2 2 2 2 3" xfId="11364" xr:uid="{94C173DB-840E-4E36-9EF4-758B3DCDB5C4}"/>
    <cellStyle name="20% - Accent3 2 2 2 2 3" xfId="4937" xr:uid="{00000000-0005-0000-0000-000048010000}"/>
    <cellStyle name="20% - Accent3 2 2 2 2 3 2" xfId="13432" xr:uid="{9F3E6E91-BC86-4B51-A244-0921FE57443A}"/>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90" xr:uid="{90924D84-EF16-41E1-A662-913BFF7747F1}"/>
    <cellStyle name="20% - Accent3 2 2 2 3 2 3" xfId="11777" xr:uid="{BB28D657-9103-44FC-9285-1162AFD87749}"/>
    <cellStyle name="20% - Accent3 2 2 2 3 3" xfId="5350" xr:uid="{00000000-0005-0000-0000-00004C010000}"/>
    <cellStyle name="20% - Accent3 2 2 2 3 3 2" xfId="13845" xr:uid="{B3228C94-8CB6-452C-BEEB-0032B6B8E5F8}"/>
    <cellStyle name="20% - Accent3 2 2 2 3 4" xfId="9632" xr:uid="{FFDA8104-1D39-40E7-BD1D-50B980FD81A7}"/>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403" xr:uid="{778E70F7-A577-4090-8C6F-B3734CE64C5D}"/>
    <cellStyle name="20% - Accent3 2 2 2 4 2 3" xfId="12190" xr:uid="{57070B92-6D99-4147-9989-1F60FB0E3005}"/>
    <cellStyle name="20% - Accent3 2 2 2 4 3" xfId="5763" xr:uid="{00000000-0005-0000-0000-000050010000}"/>
    <cellStyle name="20% - Accent3 2 2 2 4 3 2" xfId="14258" xr:uid="{F8B12AB0-F83B-4259-8AA3-B419663F0D6B}"/>
    <cellStyle name="20% - Accent3 2 2 2 4 4" xfId="10045" xr:uid="{FD3BCE89-8D67-4E6A-B8C5-0D8A0D6DF094}"/>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816" xr:uid="{B3726B4F-5120-485C-BEDD-2EF3A0E222C8}"/>
    <cellStyle name="20% - Accent3 2 2 2 5 2 3" xfId="12603" xr:uid="{C9DF3EDE-DB91-4E40-A1FA-536FB24CF043}"/>
    <cellStyle name="20% - Accent3 2 2 2 5 3" xfId="6176" xr:uid="{00000000-0005-0000-0000-000054010000}"/>
    <cellStyle name="20% - Accent3 2 2 2 5 3 2" xfId="14671" xr:uid="{03AC0350-2A0F-4A44-BA2D-4A1FBE52DB91}"/>
    <cellStyle name="20% - Accent3 2 2 2 5 4" xfId="10458" xr:uid="{8D717CE1-2C23-4D52-9C0C-2AB0AEC31609}"/>
    <cellStyle name="20% - Accent3 2 2 2 6" xfId="2283" xr:uid="{00000000-0005-0000-0000-000055010000}"/>
    <cellStyle name="20% - Accent3 2 2 2 6 2" xfId="6589" xr:uid="{00000000-0005-0000-0000-000056010000}"/>
    <cellStyle name="20% - Accent3 2 2 2 6 2 2" xfId="15084" xr:uid="{187DE6D9-169A-48C1-A295-127417191753}"/>
    <cellStyle name="20% - Accent3 2 2 2 6 3" xfId="10871" xr:uid="{FC2CD107-FE7D-4348-9A84-5839B6D13189}"/>
    <cellStyle name="20% - Accent3 2 2 2 7" xfId="4523" xr:uid="{00000000-0005-0000-0000-000057010000}"/>
    <cellStyle name="20% - Accent3 2 2 2 7 2" xfId="13019" xr:uid="{23A5642C-76C9-4C38-B70A-760A0B78E465}"/>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76" xr:uid="{AB6116BA-8B3E-42CE-9DBA-693918D92703}"/>
    <cellStyle name="20% - Accent3 2 2 3 2 3" xfId="11363" xr:uid="{1241E26D-5984-418A-8EF0-856B3248FA35}"/>
    <cellStyle name="20% - Accent3 2 2 3 3" xfId="4936" xr:uid="{00000000-0005-0000-0000-00005B010000}"/>
    <cellStyle name="20% - Accent3 2 2 3 3 2" xfId="13431" xr:uid="{181AC765-4211-4379-845D-708604DF7766}"/>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89" xr:uid="{FCEC25C5-8940-4525-8FCA-D0C99FC805B5}"/>
    <cellStyle name="20% - Accent3 2 2 4 2 3" xfId="11776" xr:uid="{1E2AD1C0-FBD7-4703-A983-A06A13ECCB94}"/>
    <cellStyle name="20% - Accent3 2 2 4 3" xfId="5349" xr:uid="{00000000-0005-0000-0000-00005F010000}"/>
    <cellStyle name="20% - Accent3 2 2 4 3 2" xfId="13844" xr:uid="{27707407-B975-446C-8AEC-25B952FED985}"/>
    <cellStyle name="20% - Accent3 2 2 4 4" xfId="9631" xr:uid="{8FB424F3-DFC0-4A71-8524-5EA68AB34F51}"/>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402" xr:uid="{D6C02DF5-92C1-46F6-AB3E-4EFD0C367EB0}"/>
    <cellStyle name="20% - Accent3 2 2 5 2 3" xfId="12189" xr:uid="{68236343-CCC6-4330-A37B-046BEEEF58ED}"/>
    <cellStyle name="20% - Accent3 2 2 5 3" xfId="5762" xr:uid="{00000000-0005-0000-0000-000063010000}"/>
    <cellStyle name="20% - Accent3 2 2 5 3 2" xfId="14257" xr:uid="{7ADA2401-00BD-4999-B594-B137FD7D2F26}"/>
    <cellStyle name="20% - Accent3 2 2 5 4" xfId="10044" xr:uid="{0A62E69C-E7CC-47C6-8144-92E5C2D8CDFA}"/>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815" xr:uid="{5F3354A6-AFDD-410C-872E-94E513726160}"/>
    <cellStyle name="20% - Accent3 2 2 6 2 3" xfId="12602" xr:uid="{28DF3085-7FD8-4B49-9298-3A4F75AF0074}"/>
    <cellStyle name="20% - Accent3 2 2 6 3" xfId="6175" xr:uid="{00000000-0005-0000-0000-000067010000}"/>
    <cellStyle name="20% - Accent3 2 2 6 3 2" xfId="14670" xr:uid="{946DD53D-7D92-4764-ADA4-D294FF006DB5}"/>
    <cellStyle name="20% - Accent3 2 2 6 4" xfId="10457" xr:uid="{52B11C08-FEFA-42D9-BF12-0B4652DDC859}"/>
    <cellStyle name="20% - Accent3 2 2 7" xfId="2282" xr:uid="{00000000-0005-0000-0000-000068010000}"/>
    <cellStyle name="20% - Accent3 2 2 7 2" xfId="6588" xr:uid="{00000000-0005-0000-0000-000069010000}"/>
    <cellStyle name="20% - Accent3 2 2 7 2 2" xfId="15083" xr:uid="{7FBE2B9C-4396-4F0F-8EAF-259A5F52D7A4}"/>
    <cellStyle name="20% - Accent3 2 2 7 3" xfId="10870" xr:uid="{B19778AC-1A2D-44D3-9161-FF22A4B64E26}"/>
    <cellStyle name="20% - Accent3 2 2 8" xfId="4522" xr:uid="{00000000-0005-0000-0000-00006A010000}"/>
    <cellStyle name="20% - Accent3 2 2 8 2" xfId="13018" xr:uid="{7F032227-C77D-4581-A65E-D821CB8E615F}"/>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78" xr:uid="{5D56673C-FDC3-4A22-BAE0-E215F19F2E9A}"/>
    <cellStyle name="20% - Accent3 2 3 2 2 3" xfId="11365" xr:uid="{2DB1BA14-0604-4AE7-AA84-896F55223D16}"/>
    <cellStyle name="20% - Accent3 2 3 2 3" xfId="4938" xr:uid="{00000000-0005-0000-0000-00006F010000}"/>
    <cellStyle name="20% - Accent3 2 3 2 3 2" xfId="13433" xr:uid="{7B840A1C-FE9A-47FF-9435-B5ECDAFA7E1E}"/>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91" xr:uid="{9C0BF5E5-2A54-40A4-92C7-F6648E72013D}"/>
    <cellStyle name="20% - Accent3 2 3 3 2 3" xfId="11778" xr:uid="{32C131FB-0253-440B-9BCA-6F6733BB138A}"/>
    <cellStyle name="20% - Accent3 2 3 3 3" xfId="5351" xr:uid="{00000000-0005-0000-0000-000073010000}"/>
    <cellStyle name="20% - Accent3 2 3 3 3 2" xfId="13846" xr:uid="{C9DDB1DC-8415-4F65-B49B-3C2E32CE6E04}"/>
    <cellStyle name="20% - Accent3 2 3 3 4" xfId="9633" xr:uid="{4D374BAD-DF14-4960-BB28-9AC04D7E8AF1}"/>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404" xr:uid="{39386E25-6B5B-4D31-A8A1-AF7752A112BF}"/>
    <cellStyle name="20% - Accent3 2 3 4 2 3" xfId="12191" xr:uid="{3EC779CC-415E-4DEA-A554-03CE5F4BB7E7}"/>
    <cellStyle name="20% - Accent3 2 3 4 3" xfId="5764" xr:uid="{00000000-0005-0000-0000-000077010000}"/>
    <cellStyle name="20% - Accent3 2 3 4 3 2" xfId="14259" xr:uid="{94C1EDD6-2459-483F-B9EB-FDA6215D3841}"/>
    <cellStyle name="20% - Accent3 2 3 4 4" xfId="10046" xr:uid="{5BA84D3D-D30F-49FC-AD43-D4EA27ECE15C}"/>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817" xr:uid="{0DAD8F83-466C-4460-8E16-D4A7EBD0B4C9}"/>
    <cellStyle name="20% - Accent3 2 3 5 2 3" xfId="12604" xr:uid="{4E048E58-AF5C-4D02-9ACF-BBB1DBB1A795}"/>
    <cellStyle name="20% - Accent3 2 3 5 3" xfId="6177" xr:uid="{00000000-0005-0000-0000-00007B010000}"/>
    <cellStyle name="20% - Accent3 2 3 5 3 2" xfId="14672" xr:uid="{0DF79205-A1C2-469C-B90A-4D53356D05D8}"/>
    <cellStyle name="20% - Accent3 2 3 5 4" xfId="10459" xr:uid="{3B10C7C5-C7F1-49E1-956A-FAAA2C7FDA13}"/>
    <cellStyle name="20% - Accent3 2 3 6" xfId="2284" xr:uid="{00000000-0005-0000-0000-00007C010000}"/>
    <cellStyle name="20% - Accent3 2 3 6 2" xfId="6590" xr:uid="{00000000-0005-0000-0000-00007D010000}"/>
    <cellStyle name="20% - Accent3 2 3 6 2 2" xfId="15085" xr:uid="{48C3F1A5-4A5D-46AA-8B47-3AA71667CC1A}"/>
    <cellStyle name="20% - Accent3 2 3 6 3" xfId="10872" xr:uid="{18A8F7EA-EE6C-4231-9A0B-E80AA68BDD80}"/>
    <cellStyle name="20% - Accent3 2 3 7" xfId="4524" xr:uid="{00000000-0005-0000-0000-00007E010000}"/>
    <cellStyle name="20% - Accent3 2 3 7 2" xfId="13020" xr:uid="{7D77FDD8-B295-4B43-A108-5ECEBA07E155}"/>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75" xr:uid="{AC0E79D4-CCB9-4A9F-A5D1-D3E7AE75D357}"/>
    <cellStyle name="20% - Accent3 2 4 2 3" xfId="11362" xr:uid="{73D39252-C3DD-4F1F-BC61-723CE9DD736C}"/>
    <cellStyle name="20% - Accent3 2 4 3" xfId="4935" xr:uid="{00000000-0005-0000-0000-000082010000}"/>
    <cellStyle name="20% - Accent3 2 4 3 2" xfId="13430" xr:uid="{D5D652C3-E53A-4A06-B5F9-D107FB0664B1}"/>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88" xr:uid="{682A1478-4493-406C-9AEB-B235481B8E82}"/>
    <cellStyle name="20% - Accent3 2 5 2 3" xfId="11775" xr:uid="{2C2ADA12-6297-48A6-B7B8-96F38D37D86B}"/>
    <cellStyle name="20% - Accent3 2 5 3" xfId="5348" xr:uid="{00000000-0005-0000-0000-000086010000}"/>
    <cellStyle name="20% - Accent3 2 5 3 2" xfId="13843" xr:uid="{62FB2DAB-A976-413D-A0FE-8F5B70049D5E}"/>
    <cellStyle name="20% - Accent3 2 5 4" xfId="9630" xr:uid="{B246BC18-739A-4FA8-8D73-912298AE5B69}"/>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401" xr:uid="{A884B903-B26C-4E4E-AAF2-529F7BBA2737}"/>
    <cellStyle name="20% - Accent3 2 6 2 3" xfId="12188" xr:uid="{006890EE-32DA-4D3E-9AD2-8BAA491838E3}"/>
    <cellStyle name="20% - Accent3 2 6 3" xfId="5761" xr:uid="{00000000-0005-0000-0000-00008A010000}"/>
    <cellStyle name="20% - Accent3 2 6 3 2" xfId="14256" xr:uid="{92542EAC-49B8-4655-90D5-1E5C0FCBFEA3}"/>
    <cellStyle name="20% - Accent3 2 6 4" xfId="10043" xr:uid="{710CB824-ED65-4C53-9D42-6CCB2C983196}"/>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814" xr:uid="{4BC051F8-3B83-435D-944A-04639A9FD0D6}"/>
    <cellStyle name="20% - Accent3 2 7 2 3" xfId="12601" xr:uid="{B6737713-49D4-4DC5-99C3-164489D71DD7}"/>
    <cellStyle name="20% - Accent3 2 7 3" xfId="6174" xr:uid="{00000000-0005-0000-0000-00008E010000}"/>
    <cellStyle name="20% - Accent3 2 7 3 2" xfId="14669" xr:uid="{469C4E7C-B74E-4A5D-891C-3DC506B4112B}"/>
    <cellStyle name="20% - Accent3 2 7 4" xfId="10456" xr:uid="{E23D7FED-1D55-4C71-9242-18E966E8981C}"/>
    <cellStyle name="20% - Accent3 2 8" xfId="2281" xr:uid="{00000000-0005-0000-0000-00008F010000}"/>
    <cellStyle name="20% - Accent3 2 8 2" xfId="6587" xr:uid="{00000000-0005-0000-0000-000090010000}"/>
    <cellStyle name="20% - Accent3 2 8 2 2" xfId="15082" xr:uid="{42A0B6AB-56E5-4085-832B-BDE9D9AC9A61}"/>
    <cellStyle name="20% - Accent3 2 8 3" xfId="10869" xr:uid="{8A5FFC2A-8B66-4AFC-9268-FEC7A9F8D12E}"/>
    <cellStyle name="20% - Accent3 2 9" xfId="4521" xr:uid="{00000000-0005-0000-0000-000091010000}"/>
    <cellStyle name="20% - Accent3 2 9 2" xfId="13017" xr:uid="{C3984BFF-3EDE-40FB-A516-903A2B46732A}"/>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80" xr:uid="{4822FBD7-15FC-4A9B-9072-4DED4F64FE1D}"/>
    <cellStyle name="20% - Accent3 3 2 2 2 3" xfId="11367" xr:uid="{AE8B2A0B-1D55-45E2-B86C-26C80C4B83C9}"/>
    <cellStyle name="20% - Accent3 3 2 2 3" xfId="4940" xr:uid="{00000000-0005-0000-0000-000097010000}"/>
    <cellStyle name="20% - Accent3 3 2 2 3 2" xfId="13435" xr:uid="{D0E80EC6-1F9A-42E4-9D79-C067B6E17F6C}"/>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93" xr:uid="{ADB446EF-7312-4E52-83FA-4358B28DB74B}"/>
    <cellStyle name="20% - Accent3 3 2 3 2 3" xfId="11780" xr:uid="{CE033EEC-9B0A-45D6-A37B-CA1CB0513CB5}"/>
    <cellStyle name="20% - Accent3 3 2 3 3" xfId="5353" xr:uid="{00000000-0005-0000-0000-00009B010000}"/>
    <cellStyle name="20% - Accent3 3 2 3 3 2" xfId="13848" xr:uid="{0938A646-AAF0-4F1C-84E8-8847F4FC9B87}"/>
    <cellStyle name="20% - Accent3 3 2 3 4" xfId="9635" xr:uid="{82EE7C77-C24C-46E5-9FA1-F5A97B885B6F}"/>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406" xr:uid="{4555AE64-0F7A-4667-9F42-3C927CF5D4F6}"/>
    <cellStyle name="20% - Accent3 3 2 4 2 3" xfId="12193" xr:uid="{94F554CA-20AA-4A38-92ED-E1AF3C8B4C74}"/>
    <cellStyle name="20% - Accent3 3 2 4 3" xfId="5766" xr:uid="{00000000-0005-0000-0000-00009F010000}"/>
    <cellStyle name="20% - Accent3 3 2 4 3 2" xfId="14261" xr:uid="{7B54438F-63E0-4D38-B8EC-E8326C1249C1}"/>
    <cellStyle name="20% - Accent3 3 2 4 4" xfId="10048" xr:uid="{A671931C-0AF5-40BA-85EB-1B5FCCC86008}"/>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819" xr:uid="{29A2D5D9-9A08-45A9-AC45-F9A5E531AE23}"/>
    <cellStyle name="20% - Accent3 3 2 5 2 3" xfId="12606" xr:uid="{F1569804-0EC4-48B7-BF6F-939A60EADF2B}"/>
    <cellStyle name="20% - Accent3 3 2 5 3" xfId="6179" xr:uid="{00000000-0005-0000-0000-0000A3010000}"/>
    <cellStyle name="20% - Accent3 3 2 5 3 2" xfId="14674" xr:uid="{EB265D55-9FF9-4AE4-9F1C-B50C290DF061}"/>
    <cellStyle name="20% - Accent3 3 2 5 4" xfId="10461" xr:uid="{57A526F1-2ECB-4B8A-9232-F0C00BBF182B}"/>
    <cellStyle name="20% - Accent3 3 2 6" xfId="2286" xr:uid="{00000000-0005-0000-0000-0000A4010000}"/>
    <cellStyle name="20% - Accent3 3 2 6 2" xfId="6592" xr:uid="{00000000-0005-0000-0000-0000A5010000}"/>
    <cellStyle name="20% - Accent3 3 2 6 2 2" xfId="15087" xr:uid="{1C7D0F1E-F066-418E-9076-61D9075A1B93}"/>
    <cellStyle name="20% - Accent3 3 2 6 3" xfId="10874" xr:uid="{C24B8539-DECC-42FB-AEA1-81BFF99ED079}"/>
    <cellStyle name="20% - Accent3 3 2 7" xfId="4526" xr:uid="{00000000-0005-0000-0000-0000A6010000}"/>
    <cellStyle name="20% - Accent3 3 2 7 2" xfId="13022" xr:uid="{F0943D4F-60E3-4D8D-87BF-6B6E2AFFC11A}"/>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79" xr:uid="{09969923-A2A6-410A-8EE1-771E27295C80}"/>
    <cellStyle name="20% - Accent3 3 3 2 3" xfId="11366" xr:uid="{DEBE9A70-18D2-4969-B97C-987EF49C8BBA}"/>
    <cellStyle name="20% - Accent3 3 3 3" xfId="4939" xr:uid="{00000000-0005-0000-0000-0000AA010000}"/>
    <cellStyle name="20% - Accent3 3 3 3 2" xfId="13434" xr:uid="{F7AF0809-3661-444B-8057-685B8C55C8E7}"/>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92" xr:uid="{FF50DD04-3FC2-43B8-9725-74D597FCE43A}"/>
    <cellStyle name="20% - Accent3 3 4 2 3" xfId="11779" xr:uid="{A71A3B3F-B50F-4BA4-A3C6-D1B3F5E3C113}"/>
    <cellStyle name="20% - Accent3 3 4 3" xfId="5352" xr:uid="{00000000-0005-0000-0000-0000AE010000}"/>
    <cellStyle name="20% - Accent3 3 4 3 2" xfId="13847" xr:uid="{91290518-FCA4-41EE-A3E3-E62D4D8B38F6}"/>
    <cellStyle name="20% - Accent3 3 4 4" xfId="9634" xr:uid="{40EA273C-C7C7-4B5B-9E4D-99688D54A495}"/>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405" xr:uid="{361DE869-5AD3-4DF5-BB88-C55239E53BE1}"/>
    <cellStyle name="20% - Accent3 3 5 2 3" xfId="12192" xr:uid="{3B15AC3E-9BEB-4FAF-A56B-2A66FD594E63}"/>
    <cellStyle name="20% - Accent3 3 5 3" xfId="5765" xr:uid="{00000000-0005-0000-0000-0000B2010000}"/>
    <cellStyle name="20% - Accent3 3 5 3 2" xfId="14260" xr:uid="{06686637-49BF-44A5-8384-34EB808BC361}"/>
    <cellStyle name="20% - Accent3 3 5 4" xfId="10047" xr:uid="{2D29BCA5-9CD4-40BF-BBAF-B97A0389BB48}"/>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818" xr:uid="{2056532F-E71F-4239-A62F-88294219E152}"/>
    <cellStyle name="20% - Accent3 3 6 2 3" xfId="12605" xr:uid="{6520D088-7A0D-4952-A04C-1B50EB83490F}"/>
    <cellStyle name="20% - Accent3 3 6 3" xfId="6178" xr:uid="{00000000-0005-0000-0000-0000B6010000}"/>
    <cellStyle name="20% - Accent3 3 6 3 2" xfId="14673" xr:uid="{CD29CC82-036D-44C0-9E25-A3ED187AA662}"/>
    <cellStyle name="20% - Accent3 3 6 4" xfId="10460" xr:uid="{060B46DA-C898-4C68-BFCA-058B54BA24C2}"/>
    <cellStyle name="20% - Accent3 3 7" xfId="2285" xr:uid="{00000000-0005-0000-0000-0000B7010000}"/>
    <cellStyle name="20% - Accent3 3 7 2" xfId="6591" xr:uid="{00000000-0005-0000-0000-0000B8010000}"/>
    <cellStyle name="20% - Accent3 3 7 2 2" xfId="15086" xr:uid="{4B40A33E-05E9-4C13-B1CD-DE8F7A3287F0}"/>
    <cellStyle name="20% - Accent3 3 7 3" xfId="10873" xr:uid="{876503D3-94D5-4AA4-A761-9B7E32E71ECB}"/>
    <cellStyle name="20% - Accent3 3 8" xfId="4525" xr:uid="{00000000-0005-0000-0000-0000B9010000}"/>
    <cellStyle name="20% - Accent3 3 8 2" xfId="13021" xr:uid="{6744860A-359C-4459-82B4-952DE0D18A1C}"/>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81" xr:uid="{22E860FD-374B-492D-91E8-CB5A81143624}"/>
    <cellStyle name="20% - Accent3 4 2 2 3" xfId="11368" xr:uid="{621CADD0-3960-44E6-A64B-39D579D6EF6F}"/>
    <cellStyle name="20% - Accent3 4 2 3" xfId="4941" xr:uid="{00000000-0005-0000-0000-0000BE010000}"/>
    <cellStyle name="20% - Accent3 4 2 3 2" xfId="13436" xr:uid="{46A3B3A5-8263-4B35-8B17-355C7B005B35}"/>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94" xr:uid="{25854210-A2A6-4104-8B82-15349BE2BDF2}"/>
    <cellStyle name="20% - Accent3 4 3 2 3" xfId="11781" xr:uid="{7A2657ED-1098-47CB-BB39-E77A64F4B725}"/>
    <cellStyle name="20% - Accent3 4 3 3" xfId="5354" xr:uid="{00000000-0005-0000-0000-0000C2010000}"/>
    <cellStyle name="20% - Accent3 4 3 3 2" xfId="13849" xr:uid="{42E69D7E-3809-40A8-AEA0-3EFC903FE832}"/>
    <cellStyle name="20% - Accent3 4 3 4" xfId="9636" xr:uid="{4547723D-FCA2-407C-832E-727F44168D46}"/>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407" xr:uid="{45EBB5F9-C92D-48CB-9961-95C63D978B51}"/>
    <cellStyle name="20% - Accent3 4 4 2 3" xfId="12194" xr:uid="{B38EDFB8-B78A-4FE7-AB87-34D42A88C514}"/>
    <cellStyle name="20% - Accent3 4 4 3" xfId="5767" xr:uid="{00000000-0005-0000-0000-0000C6010000}"/>
    <cellStyle name="20% - Accent3 4 4 3 2" xfId="14262" xr:uid="{8EC79C24-755B-45B3-B02D-C2056C11DAF0}"/>
    <cellStyle name="20% - Accent3 4 4 4" xfId="10049" xr:uid="{C9A7453D-8BF8-420D-ADB3-0348BB19EC5F}"/>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820" xr:uid="{9E2B485C-0D20-42B5-BB15-A46D81F15724}"/>
    <cellStyle name="20% - Accent3 4 5 2 3" xfId="12607" xr:uid="{C7395E03-B44A-4FC4-A42E-69F466D67ACC}"/>
    <cellStyle name="20% - Accent3 4 5 3" xfId="6180" xr:uid="{00000000-0005-0000-0000-0000CA010000}"/>
    <cellStyle name="20% - Accent3 4 5 3 2" xfId="14675" xr:uid="{A2E660B0-3BF9-4404-B2E0-14670459989F}"/>
    <cellStyle name="20% - Accent3 4 5 4" xfId="10462" xr:uid="{7957DD71-AFE1-4150-A4F4-1B61906FC11A}"/>
    <cellStyle name="20% - Accent3 4 6" xfId="2287" xr:uid="{00000000-0005-0000-0000-0000CB010000}"/>
    <cellStyle name="20% - Accent3 4 6 2" xfId="6593" xr:uid="{00000000-0005-0000-0000-0000CC010000}"/>
    <cellStyle name="20% - Accent3 4 6 2 2" xfId="15088" xr:uid="{24947B23-BA37-4AEA-BC6B-22A02F946402}"/>
    <cellStyle name="20% - Accent3 4 6 3" xfId="10875" xr:uid="{C7796509-B82B-4847-B63D-3ADE9DBCCEDE}"/>
    <cellStyle name="20% - Accent3 4 7" xfId="4527" xr:uid="{00000000-0005-0000-0000-0000CD010000}"/>
    <cellStyle name="20% - Accent3 4 7 2" xfId="13023" xr:uid="{C13125F0-55BE-4D51-A4A1-59D4C7C6683F}"/>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2 2 2" xfId="15574" xr:uid="{A772AEAD-4D1B-427A-ADE3-7613FED97BCC}"/>
    <cellStyle name="20% - Accent3 5 2 3" xfId="11361" xr:uid="{DB0E83EC-7CD3-47C7-8948-AD7DF35E4B4E}"/>
    <cellStyle name="20% - Accent3 5 3" xfId="4934" xr:uid="{00000000-0005-0000-0000-0000D1010000}"/>
    <cellStyle name="20% - Accent3 5 3 2" xfId="13429" xr:uid="{3285CDE2-DD01-4BC2-B064-50ED266BBDB9}"/>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2 2 2" xfId="15987" xr:uid="{751E9F15-C884-4A02-ABFB-C06445BFCA2E}"/>
    <cellStyle name="20% - Accent3 6 2 3" xfId="11774" xr:uid="{CBBF3551-C2D2-4755-BDE8-FB40768F58A5}"/>
    <cellStyle name="20% - Accent3 6 3" xfId="5347" xr:uid="{00000000-0005-0000-0000-0000D5010000}"/>
    <cellStyle name="20% - Accent3 6 3 2" xfId="13842" xr:uid="{337E7397-25F5-405C-85E0-4B5351FE3897}"/>
    <cellStyle name="20% - Accent3 6 4" xfId="9629" xr:uid="{2AF99BA5-44E9-43CB-87D2-DA906C507283}"/>
    <cellStyle name="20% - Accent3 7" xfId="1453" xr:uid="{00000000-0005-0000-0000-0000D6010000}"/>
    <cellStyle name="20% - Accent3 7 2" xfId="3683" xr:uid="{00000000-0005-0000-0000-0000D7010000}"/>
    <cellStyle name="20% - Accent3 7 2 2" xfId="7905" xr:uid="{00000000-0005-0000-0000-0000D8010000}"/>
    <cellStyle name="20% - Accent3 7 2 2 2" xfId="16400" xr:uid="{9D11D18C-0602-4B78-91A8-E3833C1935AB}"/>
    <cellStyle name="20% - Accent3 7 2 3" xfId="12187" xr:uid="{160AE3C4-92AD-4D3D-A03C-9FFC8B9F47EF}"/>
    <cellStyle name="20% - Accent3 7 3" xfId="5760" xr:uid="{00000000-0005-0000-0000-0000D9010000}"/>
    <cellStyle name="20% - Accent3 7 3 2" xfId="14255" xr:uid="{9F002FDD-1BE4-4B65-9F3D-9416CCA7CFF4}"/>
    <cellStyle name="20% - Accent3 7 4" xfId="10042" xr:uid="{3C56FD2B-34BB-40CD-9C38-05B57C55BB44}"/>
    <cellStyle name="20% - Accent3 8" xfId="1867" xr:uid="{00000000-0005-0000-0000-0000DA010000}"/>
    <cellStyle name="20% - Accent3 8 2" xfId="4096" xr:uid="{00000000-0005-0000-0000-0000DB010000}"/>
    <cellStyle name="20% - Accent3 8 2 2" xfId="8318" xr:uid="{00000000-0005-0000-0000-0000DC010000}"/>
    <cellStyle name="20% - Accent3 8 2 2 2" xfId="16813" xr:uid="{07854775-8BAF-46BC-B509-90FBBBC67541}"/>
    <cellStyle name="20% - Accent3 8 2 3" xfId="12600" xr:uid="{414EDBD7-CF15-4286-B69D-FE54FDA737B0}"/>
    <cellStyle name="20% - Accent3 8 3" xfId="6173" xr:uid="{00000000-0005-0000-0000-0000DD010000}"/>
    <cellStyle name="20% - Accent3 8 3 2" xfId="14668" xr:uid="{2A7AED91-D21B-4AEC-9495-F058154493FC}"/>
    <cellStyle name="20% - Accent3 8 4" xfId="10455" xr:uid="{464B71E8-7AF3-4E16-BD60-4553B7FB119B}"/>
    <cellStyle name="20% - Accent3 9" xfId="2280" xr:uid="{00000000-0005-0000-0000-0000DE010000}"/>
    <cellStyle name="20% - Accent3 9 2" xfId="6586" xr:uid="{00000000-0005-0000-0000-0000DF010000}"/>
    <cellStyle name="20% - Accent3 9 2 2" xfId="15081" xr:uid="{88E5AD90-B1F9-48B9-829F-46C911C296B3}"/>
    <cellStyle name="20% - Accent3 9 3" xfId="10868" xr:uid="{5EA833F7-EAFB-4463-9064-00F64ED0C28B}"/>
    <cellStyle name="20% - Accent4" xfId="25" builtinId="42" customBuiltin="1"/>
    <cellStyle name="20% - Accent4 10" xfId="4528" xr:uid="{00000000-0005-0000-0000-0000E1010000}"/>
    <cellStyle name="20% - Accent4 10 2" xfId="13024" xr:uid="{7C0ABCEA-81EB-4265-8384-293971F92709}"/>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85" xr:uid="{3A09943E-1231-4F76-9673-426ED92983FC}"/>
    <cellStyle name="20% - Accent4 2 2 2 2 2 3" xfId="11372" xr:uid="{590B3122-70A0-4E35-85FA-5B196A99CFA6}"/>
    <cellStyle name="20% - Accent4 2 2 2 2 3" xfId="4945" xr:uid="{00000000-0005-0000-0000-0000E8010000}"/>
    <cellStyle name="20% - Accent4 2 2 2 2 3 2" xfId="13440" xr:uid="{4099A51C-49C0-4622-9DC6-D05FA883B0CC}"/>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98" xr:uid="{02DC929F-C369-44C9-9388-86D06767C451}"/>
    <cellStyle name="20% - Accent4 2 2 2 3 2 3" xfId="11785" xr:uid="{3AD17600-CF80-4413-BC07-71D42B3089DF}"/>
    <cellStyle name="20% - Accent4 2 2 2 3 3" xfId="5358" xr:uid="{00000000-0005-0000-0000-0000EC010000}"/>
    <cellStyle name="20% - Accent4 2 2 2 3 3 2" xfId="13853" xr:uid="{81CCA2A6-C892-46C9-BFCC-B46DC4E2AEFC}"/>
    <cellStyle name="20% - Accent4 2 2 2 3 4" xfId="9640" xr:uid="{2A6F0554-5610-4C51-9B49-AE10999F03A9}"/>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411" xr:uid="{98913CE3-324F-4637-92AB-869C9559F72B}"/>
    <cellStyle name="20% - Accent4 2 2 2 4 2 3" xfId="12198" xr:uid="{5633E185-4F06-4339-B231-7DEEEBEA18B8}"/>
    <cellStyle name="20% - Accent4 2 2 2 4 3" xfId="5771" xr:uid="{00000000-0005-0000-0000-0000F0010000}"/>
    <cellStyle name="20% - Accent4 2 2 2 4 3 2" xfId="14266" xr:uid="{4819CFC8-AD7B-48F4-A9BA-B447F41D6F6F}"/>
    <cellStyle name="20% - Accent4 2 2 2 4 4" xfId="10053" xr:uid="{D4C36186-534E-40A0-9D09-771ABC0EECE6}"/>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824" xr:uid="{85718318-6643-4F96-9C2D-11D21EBE20DB}"/>
    <cellStyle name="20% - Accent4 2 2 2 5 2 3" xfId="12611" xr:uid="{78CED628-54D2-45D4-BD00-36F41D57A248}"/>
    <cellStyle name="20% - Accent4 2 2 2 5 3" xfId="6184" xr:uid="{00000000-0005-0000-0000-0000F4010000}"/>
    <cellStyle name="20% - Accent4 2 2 2 5 3 2" xfId="14679" xr:uid="{A0EEB7C5-4D84-4DBA-98C2-37A58F7D297C}"/>
    <cellStyle name="20% - Accent4 2 2 2 5 4" xfId="10466" xr:uid="{40F72A8F-3C04-4160-9340-2FBE47E73B56}"/>
    <cellStyle name="20% - Accent4 2 2 2 6" xfId="2291" xr:uid="{00000000-0005-0000-0000-0000F5010000}"/>
    <cellStyle name="20% - Accent4 2 2 2 6 2" xfId="6597" xr:uid="{00000000-0005-0000-0000-0000F6010000}"/>
    <cellStyle name="20% - Accent4 2 2 2 6 2 2" xfId="15092" xr:uid="{1AFF3080-ECA8-4310-9233-BAC66DFD2089}"/>
    <cellStyle name="20% - Accent4 2 2 2 6 3" xfId="10879" xr:uid="{336355AA-3475-4060-8EF6-26C37044A82E}"/>
    <cellStyle name="20% - Accent4 2 2 2 7" xfId="4531" xr:uid="{00000000-0005-0000-0000-0000F7010000}"/>
    <cellStyle name="20% - Accent4 2 2 2 7 2" xfId="13027" xr:uid="{CDFBCDB0-DD40-4AEF-869B-A1B7B7F88DFE}"/>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84" xr:uid="{90B0CF08-66C3-441B-B5D6-72DCA8840836}"/>
    <cellStyle name="20% - Accent4 2 2 3 2 3" xfId="11371" xr:uid="{848D4B38-FAF6-43D5-88D3-F482D7892210}"/>
    <cellStyle name="20% - Accent4 2 2 3 3" xfId="4944" xr:uid="{00000000-0005-0000-0000-0000FB010000}"/>
    <cellStyle name="20% - Accent4 2 2 3 3 2" xfId="13439" xr:uid="{3CD3C8F6-8357-4323-9AB0-546F3EBAC8D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97" xr:uid="{6305E253-61B3-4EB0-AE2B-6F9E269E070D}"/>
    <cellStyle name="20% - Accent4 2 2 4 2 3" xfId="11784" xr:uid="{86C330E0-ED04-4709-ADBD-FB11B8297EBB}"/>
    <cellStyle name="20% - Accent4 2 2 4 3" xfId="5357" xr:uid="{00000000-0005-0000-0000-0000FF010000}"/>
    <cellStyle name="20% - Accent4 2 2 4 3 2" xfId="13852" xr:uid="{720DB34F-077B-4D04-9508-C4B83B814D80}"/>
    <cellStyle name="20% - Accent4 2 2 4 4" xfId="9639" xr:uid="{E414DAF9-5FE8-4844-A144-96584B38FB71}"/>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410" xr:uid="{60878738-7B5C-475C-B116-AFDFFC35C88C}"/>
    <cellStyle name="20% - Accent4 2 2 5 2 3" xfId="12197" xr:uid="{A60FA6AE-7D8F-41E9-82FB-838423EBAFE5}"/>
    <cellStyle name="20% - Accent4 2 2 5 3" xfId="5770" xr:uid="{00000000-0005-0000-0000-000003020000}"/>
    <cellStyle name="20% - Accent4 2 2 5 3 2" xfId="14265" xr:uid="{4FC97B81-FEE4-4E17-B373-247E6A4E47A5}"/>
    <cellStyle name="20% - Accent4 2 2 5 4" xfId="10052" xr:uid="{F23A72CE-E4F4-4EA7-AEBD-794FB45D5876}"/>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823" xr:uid="{A62FA2A1-485E-45E2-8BA2-0DC151C96D27}"/>
    <cellStyle name="20% - Accent4 2 2 6 2 3" xfId="12610" xr:uid="{108E0560-0E9A-4A87-B440-38D99B8D06A9}"/>
    <cellStyle name="20% - Accent4 2 2 6 3" xfId="6183" xr:uid="{00000000-0005-0000-0000-000007020000}"/>
    <cellStyle name="20% - Accent4 2 2 6 3 2" xfId="14678" xr:uid="{A44BD37C-E11C-4D91-A071-915FA1390E17}"/>
    <cellStyle name="20% - Accent4 2 2 6 4" xfId="10465" xr:uid="{D3EA2378-45E7-471F-A62E-296DBAA267AB}"/>
    <cellStyle name="20% - Accent4 2 2 7" xfId="2290" xr:uid="{00000000-0005-0000-0000-000008020000}"/>
    <cellStyle name="20% - Accent4 2 2 7 2" xfId="6596" xr:uid="{00000000-0005-0000-0000-000009020000}"/>
    <cellStyle name="20% - Accent4 2 2 7 2 2" xfId="15091" xr:uid="{9CCB4365-E01F-486A-888C-B1D1B4321D5C}"/>
    <cellStyle name="20% - Accent4 2 2 7 3" xfId="10878" xr:uid="{2A36068B-B195-4441-A11C-E9E059EECDD8}"/>
    <cellStyle name="20% - Accent4 2 2 8" xfId="4530" xr:uid="{00000000-0005-0000-0000-00000A020000}"/>
    <cellStyle name="20% - Accent4 2 2 8 2" xfId="13026" xr:uid="{D0A93241-60D6-4373-A9C5-F04611D321AD}"/>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86" xr:uid="{1FFFF3F9-BC0B-430A-A42D-1381BF570CB0}"/>
    <cellStyle name="20% - Accent4 2 3 2 2 3" xfId="11373" xr:uid="{4C742D35-CD1F-408C-80F6-7433E47661E9}"/>
    <cellStyle name="20% - Accent4 2 3 2 3" xfId="4946" xr:uid="{00000000-0005-0000-0000-00000F020000}"/>
    <cellStyle name="20% - Accent4 2 3 2 3 2" xfId="13441" xr:uid="{9A8B3DE8-FC48-40D0-A865-A7069AD16E23}"/>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99" xr:uid="{BC872FDD-73DE-4FB6-801C-0B78F11414C6}"/>
    <cellStyle name="20% - Accent4 2 3 3 2 3" xfId="11786" xr:uid="{DDDFF98B-9397-4D03-825B-976B45021AE6}"/>
    <cellStyle name="20% - Accent4 2 3 3 3" xfId="5359" xr:uid="{00000000-0005-0000-0000-000013020000}"/>
    <cellStyle name="20% - Accent4 2 3 3 3 2" xfId="13854" xr:uid="{429D33A0-D691-4052-967C-7776B2DFD133}"/>
    <cellStyle name="20% - Accent4 2 3 3 4" xfId="9641" xr:uid="{37130555-084B-448E-8B31-F5E796597B33}"/>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412" xr:uid="{1E1DA03B-CD79-45BF-AF39-A562A117A875}"/>
    <cellStyle name="20% - Accent4 2 3 4 2 3" xfId="12199" xr:uid="{BFA5FE56-2C8C-4958-ACC9-FC63E4637852}"/>
    <cellStyle name="20% - Accent4 2 3 4 3" xfId="5772" xr:uid="{00000000-0005-0000-0000-000017020000}"/>
    <cellStyle name="20% - Accent4 2 3 4 3 2" xfId="14267" xr:uid="{45FA28A2-7A13-41B0-87E6-C22F87B3FED3}"/>
    <cellStyle name="20% - Accent4 2 3 4 4" xfId="10054" xr:uid="{EEE173F4-FF46-4C84-A159-6EF6FE583B41}"/>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825" xr:uid="{0CE7AAF6-C5D0-4600-8A6E-25AB42597227}"/>
    <cellStyle name="20% - Accent4 2 3 5 2 3" xfId="12612" xr:uid="{EE1CD2C1-1A35-4CC2-82C1-163F6CCAB9FF}"/>
    <cellStyle name="20% - Accent4 2 3 5 3" xfId="6185" xr:uid="{00000000-0005-0000-0000-00001B020000}"/>
    <cellStyle name="20% - Accent4 2 3 5 3 2" xfId="14680" xr:uid="{A407CB25-8B83-4303-B173-8FD0FDD63CBE}"/>
    <cellStyle name="20% - Accent4 2 3 5 4" xfId="10467" xr:uid="{BCC15993-65A2-463B-86A4-3F626E4B74E6}"/>
    <cellStyle name="20% - Accent4 2 3 6" xfId="2292" xr:uid="{00000000-0005-0000-0000-00001C020000}"/>
    <cellStyle name="20% - Accent4 2 3 6 2" xfId="6598" xr:uid="{00000000-0005-0000-0000-00001D020000}"/>
    <cellStyle name="20% - Accent4 2 3 6 2 2" xfId="15093" xr:uid="{C6AA8153-1D17-4BC5-9881-479F69A81A02}"/>
    <cellStyle name="20% - Accent4 2 3 6 3" xfId="10880" xr:uid="{ED22219A-CDF2-4623-A614-5F09DFF8F4DF}"/>
    <cellStyle name="20% - Accent4 2 3 7" xfId="4532" xr:uid="{00000000-0005-0000-0000-00001E020000}"/>
    <cellStyle name="20% - Accent4 2 3 7 2" xfId="13028" xr:uid="{560377F2-2887-4826-8145-4D53E1D24388}"/>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83" xr:uid="{C06DA466-A0A1-4CB7-A6CD-71E936AF84F5}"/>
    <cellStyle name="20% - Accent4 2 4 2 3" xfId="11370" xr:uid="{2E83BB5B-019E-43F7-B18E-FBED9C21213B}"/>
    <cellStyle name="20% - Accent4 2 4 3" xfId="4943" xr:uid="{00000000-0005-0000-0000-000022020000}"/>
    <cellStyle name="20% - Accent4 2 4 3 2" xfId="13438" xr:uid="{D0BAF756-4D63-4DF6-B90B-0257BF5222C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96" xr:uid="{AFDB0FF7-5BA0-4482-AABB-A0D460FC659B}"/>
    <cellStyle name="20% - Accent4 2 5 2 3" xfId="11783" xr:uid="{D8E45E59-11B6-461F-B318-15E3A3E968BB}"/>
    <cellStyle name="20% - Accent4 2 5 3" xfId="5356" xr:uid="{00000000-0005-0000-0000-000026020000}"/>
    <cellStyle name="20% - Accent4 2 5 3 2" xfId="13851" xr:uid="{7E7CA49C-DC03-4AEC-A0BC-7199925E0E22}"/>
    <cellStyle name="20% - Accent4 2 5 4" xfId="9638" xr:uid="{4E9C4060-DD16-4085-AB6F-F54C0AA6EAB7}"/>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409" xr:uid="{ED467108-E71A-4C85-8454-47F4B1AEEAB1}"/>
    <cellStyle name="20% - Accent4 2 6 2 3" xfId="12196" xr:uid="{21724705-4F6E-465C-A3AE-77555AF671F5}"/>
    <cellStyle name="20% - Accent4 2 6 3" xfId="5769" xr:uid="{00000000-0005-0000-0000-00002A020000}"/>
    <cellStyle name="20% - Accent4 2 6 3 2" xfId="14264" xr:uid="{FC8C1A69-01DE-470D-8D1B-53968563782B}"/>
    <cellStyle name="20% - Accent4 2 6 4" xfId="10051" xr:uid="{6BFE3919-EB50-4B6B-A161-E06D0E3EF288}"/>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822" xr:uid="{220BEA82-6562-4102-8B87-EF909C409F26}"/>
    <cellStyle name="20% - Accent4 2 7 2 3" xfId="12609" xr:uid="{99091192-2B42-4C5A-B677-C924D05FF369}"/>
    <cellStyle name="20% - Accent4 2 7 3" xfId="6182" xr:uid="{00000000-0005-0000-0000-00002E020000}"/>
    <cellStyle name="20% - Accent4 2 7 3 2" xfId="14677" xr:uid="{AD2A825A-6FA4-4E15-A1A8-C36D54C78D1F}"/>
    <cellStyle name="20% - Accent4 2 7 4" xfId="10464" xr:uid="{D7377B88-5770-45DD-914F-07C1A60EBE6F}"/>
    <cellStyle name="20% - Accent4 2 8" xfId="2289" xr:uid="{00000000-0005-0000-0000-00002F020000}"/>
    <cellStyle name="20% - Accent4 2 8 2" xfId="6595" xr:uid="{00000000-0005-0000-0000-000030020000}"/>
    <cellStyle name="20% - Accent4 2 8 2 2" xfId="15090" xr:uid="{423CC3EC-D0DA-4D45-A940-C16FB3AF639E}"/>
    <cellStyle name="20% - Accent4 2 8 3" xfId="10877" xr:uid="{3D6FE041-B643-4B01-B42F-DCA6E57E8CF6}"/>
    <cellStyle name="20% - Accent4 2 9" xfId="4529" xr:uid="{00000000-0005-0000-0000-000031020000}"/>
    <cellStyle name="20% - Accent4 2 9 2" xfId="13025" xr:uid="{C93B2EA2-8B18-4CE9-B90B-F1E1565F1043}"/>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88" xr:uid="{19A46A2A-7E56-4959-969D-B867ABCF9E1E}"/>
    <cellStyle name="20% - Accent4 3 2 2 2 3" xfId="11375" xr:uid="{B1B8683D-F74A-454A-9209-4C0496BE4A7C}"/>
    <cellStyle name="20% - Accent4 3 2 2 3" xfId="4948" xr:uid="{00000000-0005-0000-0000-000037020000}"/>
    <cellStyle name="20% - Accent4 3 2 2 3 2" xfId="13443" xr:uid="{AD10415E-7D33-4000-B9A5-A8E729665DB6}"/>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001" xr:uid="{FDC2A9F1-55E5-48F5-96EA-E804BEDED79C}"/>
    <cellStyle name="20% - Accent4 3 2 3 2 3" xfId="11788" xr:uid="{101BD7B2-9E83-4025-996B-A23108921BF8}"/>
    <cellStyle name="20% - Accent4 3 2 3 3" xfId="5361" xr:uid="{00000000-0005-0000-0000-00003B020000}"/>
    <cellStyle name="20% - Accent4 3 2 3 3 2" xfId="13856" xr:uid="{9C7B0355-A224-4BA4-A532-B29594F64A17}"/>
    <cellStyle name="20% - Accent4 3 2 3 4" xfId="9643" xr:uid="{23F7E163-370C-4B45-B8C3-DD2A63E7EA53}"/>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414" xr:uid="{5C2C3FB4-F47F-4F67-A419-92DF58D46656}"/>
    <cellStyle name="20% - Accent4 3 2 4 2 3" xfId="12201" xr:uid="{D4BB75D2-4D48-49DF-B2B4-BEEF2AF7A269}"/>
    <cellStyle name="20% - Accent4 3 2 4 3" xfId="5774" xr:uid="{00000000-0005-0000-0000-00003F020000}"/>
    <cellStyle name="20% - Accent4 3 2 4 3 2" xfId="14269" xr:uid="{B953DBA9-F4DC-4D64-AD5A-D16F31152263}"/>
    <cellStyle name="20% - Accent4 3 2 4 4" xfId="10056" xr:uid="{60EDDDB0-3E32-46D2-93DF-7976478CCA03}"/>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827" xr:uid="{F5CEB5ED-05A8-4200-92B0-90AFC68DCC7C}"/>
    <cellStyle name="20% - Accent4 3 2 5 2 3" xfId="12614" xr:uid="{0ABA2B16-390B-4B33-8B7B-5385A0966A36}"/>
    <cellStyle name="20% - Accent4 3 2 5 3" xfId="6187" xr:uid="{00000000-0005-0000-0000-000043020000}"/>
    <cellStyle name="20% - Accent4 3 2 5 3 2" xfId="14682" xr:uid="{207DCBB7-B0B7-4434-9A10-1E157493F218}"/>
    <cellStyle name="20% - Accent4 3 2 5 4" xfId="10469" xr:uid="{D91CF70E-1001-459B-88E3-E705AF8B0430}"/>
    <cellStyle name="20% - Accent4 3 2 6" xfId="2294" xr:uid="{00000000-0005-0000-0000-000044020000}"/>
    <cellStyle name="20% - Accent4 3 2 6 2" xfId="6600" xr:uid="{00000000-0005-0000-0000-000045020000}"/>
    <cellStyle name="20% - Accent4 3 2 6 2 2" xfId="15095" xr:uid="{C48CBE4A-E899-49A4-AE7C-FD5FBA16516E}"/>
    <cellStyle name="20% - Accent4 3 2 6 3" xfId="10882" xr:uid="{E3331108-83FC-45C0-A935-8254B93511A8}"/>
    <cellStyle name="20% - Accent4 3 2 7" xfId="4534" xr:uid="{00000000-0005-0000-0000-000046020000}"/>
    <cellStyle name="20% - Accent4 3 2 7 2" xfId="13030" xr:uid="{5598CD8B-1927-41B2-8B73-D258248D514A}"/>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87" xr:uid="{B602DBAC-B6D3-4DBC-8A65-EF26D01EB963}"/>
    <cellStyle name="20% - Accent4 3 3 2 3" xfId="11374" xr:uid="{747E98E4-840D-4E87-A448-F6BBF29DD30B}"/>
    <cellStyle name="20% - Accent4 3 3 3" xfId="4947" xr:uid="{00000000-0005-0000-0000-00004A020000}"/>
    <cellStyle name="20% - Accent4 3 3 3 2" xfId="13442" xr:uid="{E8F1C34A-D61F-4F33-ADAE-F2B47FBBCB3D}"/>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000" xr:uid="{4CA11499-BE4D-464A-9967-773897D9EB97}"/>
    <cellStyle name="20% - Accent4 3 4 2 3" xfId="11787" xr:uid="{BCD56E72-638F-4002-A53A-807A85144F61}"/>
    <cellStyle name="20% - Accent4 3 4 3" xfId="5360" xr:uid="{00000000-0005-0000-0000-00004E020000}"/>
    <cellStyle name="20% - Accent4 3 4 3 2" xfId="13855" xr:uid="{176146F2-1256-44E3-867A-B58171660CB3}"/>
    <cellStyle name="20% - Accent4 3 4 4" xfId="9642" xr:uid="{7AEC5783-393C-4D16-9083-0C54B15AF03D}"/>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413" xr:uid="{F5342996-1687-4A29-951B-9FE170914286}"/>
    <cellStyle name="20% - Accent4 3 5 2 3" xfId="12200" xr:uid="{16A6B8FD-0016-4908-91AA-87F4755BB501}"/>
    <cellStyle name="20% - Accent4 3 5 3" xfId="5773" xr:uid="{00000000-0005-0000-0000-000052020000}"/>
    <cellStyle name="20% - Accent4 3 5 3 2" xfId="14268" xr:uid="{88CF5542-0D98-4B1F-BF7E-8456E4AF9E17}"/>
    <cellStyle name="20% - Accent4 3 5 4" xfId="10055" xr:uid="{9DF6E5A8-4626-4914-A62C-DCBAD8CA0BC6}"/>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826" xr:uid="{C70E9E64-AFE9-48CF-9527-FEBA2FF3C5CE}"/>
    <cellStyle name="20% - Accent4 3 6 2 3" xfId="12613" xr:uid="{7FAB58E9-E8E7-4A4B-A032-9598018E2A6D}"/>
    <cellStyle name="20% - Accent4 3 6 3" xfId="6186" xr:uid="{00000000-0005-0000-0000-000056020000}"/>
    <cellStyle name="20% - Accent4 3 6 3 2" xfId="14681" xr:uid="{5EE6B630-17A7-4F8C-969B-C34815A00651}"/>
    <cellStyle name="20% - Accent4 3 6 4" xfId="10468" xr:uid="{9ABFE415-69C4-4557-824A-56BBCB31CBAB}"/>
    <cellStyle name="20% - Accent4 3 7" xfId="2293" xr:uid="{00000000-0005-0000-0000-000057020000}"/>
    <cellStyle name="20% - Accent4 3 7 2" xfId="6599" xr:uid="{00000000-0005-0000-0000-000058020000}"/>
    <cellStyle name="20% - Accent4 3 7 2 2" xfId="15094" xr:uid="{08B47100-0A39-46B1-B3EC-113FF2815C56}"/>
    <cellStyle name="20% - Accent4 3 7 3" xfId="10881" xr:uid="{6B668C12-6AF6-407A-A5C9-6EFAFA57B03B}"/>
    <cellStyle name="20% - Accent4 3 8" xfId="4533" xr:uid="{00000000-0005-0000-0000-000059020000}"/>
    <cellStyle name="20% - Accent4 3 8 2" xfId="13029" xr:uid="{E71E2B5B-9EC8-4786-B378-F04DCD72D295}"/>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89" xr:uid="{237455B7-A052-44C5-B64A-B9AC0E0AC961}"/>
    <cellStyle name="20% - Accent4 4 2 2 3" xfId="11376" xr:uid="{5C63D1B3-941D-43A9-BCE2-4115331DC3E2}"/>
    <cellStyle name="20% - Accent4 4 2 3" xfId="4949" xr:uid="{00000000-0005-0000-0000-00005E020000}"/>
    <cellStyle name="20% - Accent4 4 2 3 2" xfId="13444" xr:uid="{1B093849-3F1E-4414-A403-A491DCE394DD}"/>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002" xr:uid="{73586367-9A10-44F4-8100-BEA68EAE1B1A}"/>
    <cellStyle name="20% - Accent4 4 3 2 3" xfId="11789" xr:uid="{6B9BDF55-CFDA-4B70-86AC-C096ABA700EC}"/>
    <cellStyle name="20% - Accent4 4 3 3" xfId="5362" xr:uid="{00000000-0005-0000-0000-000062020000}"/>
    <cellStyle name="20% - Accent4 4 3 3 2" xfId="13857" xr:uid="{DD4944F0-F601-4ADC-8E79-6AE8471E0813}"/>
    <cellStyle name="20% - Accent4 4 3 4" xfId="9644" xr:uid="{95964757-EABC-4CB0-A843-62C266377D88}"/>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415" xr:uid="{2C39F324-BD91-4929-B32A-87D5C99B341F}"/>
    <cellStyle name="20% - Accent4 4 4 2 3" xfId="12202" xr:uid="{6443B7AD-4685-49C4-8C08-E8233E4A4474}"/>
    <cellStyle name="20% - Accent4 4 4 3" xfId="5775" xr:uid="{00000000-0005-0000-0000-000066020000}"/>
    <cellStyle name="20% - Accent4 4 4 3 2" xfId="14270" xr:uid="{AC500956-4A14-4C7E-84E5-0DC44F716586}"/>
    <cellStyle name="20% - Accent4 4 4 4" xfId="10057" xr:uid="{F0EE835D-F34B-41F0-8183-AAA49FC4D359}"/>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828" xr:uid="{E7686C59-D6BF-4AAE-9636-EBD1E8256564}"/>
    <cellStyle name="20% - Accent4 4 5 2 3" xfId="12615" xr:uid="{1EE0627B-C29F-4E45-867C-E37D769ADE25}"/>
    <cellStyle name="20% - Accent4 4 5 3" xfId="6188" xr:uid="{00000000-0005-0000-0000-00006A020000}"/>
    <cellStyle name="20% - Accent4 4 5 3 2" xfId="14683" xr:uid="{C0CFA8EE-A23A-45A9-8759-D901AD8BFEDB}"/>
    <cellStyle name="20% - Accent4 4 5 4" xfId="10470" xr:uid="{872BE7C0-C859-4C1B-BD6A-B33572FDEC1C}"/>
    <cellStyle name="20% - Accent4 4 6" xfId="2295" xr:uid="{00000000-0005-0000-0000-00006B020000}"/>
    <cellStyle name="20% - Accent4 4 6 2" xfId="6601" xr:uid="{00000000-0005-0000-0000-00006C020000}"/>
    <cellStyle name="20% - Accent4 4 6 2 2" xfId="15096" xr:uid="{85AF0C78-9738-4B2B-A273-223B5F0D5299}"/>
    <cellStyle name="20% - Accent4 4 6 3" xfId="10883" xr:uid="{99026B23-74DD-4FDA-B1F7-BC7A84D93A7A}"/>
    <cellStyle name="20% - Accent4 4 7" xfId="4535" xr:uid="{00000000-0005-0000-0000-00006D020000}"/>
    <cellStyle name="20% - Accent4 4 7 2" xfId="13031" xr:uid="{327B2328-7ACA-4CC0-8DAF-6F705E109121}"/>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2 2 2" xfId="15582" xr:uid="{F166AEDE-68A8-4A26-8C1F-A6997274DFE1}"/>
    <cellStyle name="20% - Accent4 5 2 3" xfId="11369" xr:uid="{B73E01E4-93AC-43E3-8528-F703ED66C3CA}"/>
    <cellStyle name="20% - Accent4 5 3" xfId="4942" xr:uid="{00000000-0005-0000-0000-000071020000}"/>
    <cellStyle name="20% - Accent4 5 3 2" xfId="13437" xr:uid="{2DFEB2CD-740D-4B03-92F9-98907CBBA9F7}"/>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2 2 2" xfId="15995" xr:uid="{75E603D3-946C-4E0E-BF63-07A29A49FFDA}"/>
    <cellStyle name="20% - Accent4 6 2 3" xfId="11782" xr:uid="{307EFD25-606F-49CA-BB73-910253BD2F29}"/>
    <cellStyle name="20% - Accent4 6 3" xfId="5355" xr:uid="{00000000-0005-0000-0000-000075020000}"/>
    <cellStyle name="20% - Accent4 6 3 2" xfId="13850" xr:uid="{B64845AF-D6E7-47FA-9B21-DEF60B6DD5FB}"/>
    <cellStyle name="20% - Accent4 6 4" xfId="9637" xr:uid="{EE35FE91-D57C-4B11-880A-CB1CF8FE21A5}"/>
    <cellStyle name="20% - Accent4 7" xfId="1461" xr:uid="{00000000-0005-0000-0000-000076020000}"/>
    <cellStyle name="20% - Accent4 7 2" xfId="3691" xr:uid="{00000000-0005-0000-0000-000077020000}"/>
    <cellStyle name="20% - Accent4 7 2 2" xfId="7913" xr:uid="{00000000-0005-0000-0000-000078020000}"/>
    <cellStyle name="20% - Accent4 7 2 2 2" xfId="16408" xr:uid="{D6422D91-D1BB-429D-AA9E-4A058A90DE79}"/>
    <cellStyle name="20% - Accent4 7 2 3" xfId="12195" xr:uid="{D906CE78-3F51-43CF-8F2E-5CD8274BB689}"/>
    <cellStyle name="20% - Accent4 7 3" xfId="5768" xr:uid="{00000000-0005-0000-0000-000079020000}"/>
    <cellStyle name="20% - Accent4 7 3 2" xfId="14263" xr:uid="{8E440D0E-143A-4A04-B6C7-4CEFDE3FD0D0}"/>
    <cellStyle name="20% - Accent4 7 4" xfId="10050" xr:uid="{327CD4BE-72C5-4807-A51A-8C1DDA1DB66C}"/>
    <cellStyle name="20% - Accent4 8" xfId="1875" xr:uid="{00000000-0005-0000-0000-00007A020000}"/>
    <cellStyle name="20% - Accent4 8 2" xfId="4104" xr:uid="{00000000-0005-0000-0000-00007B020000}"/>
    <cellStyle name="20% - Accent4 8 2 2" xfId="8326" xr:uid="{00000000-0005-0000-0000-00007C020000}"/>
    <cellStyle name="20% - Accent4 8 2 2 2" xfId="16821" xr:uid="{CF47888F-7BFB-481C-AA63-3CD6E85B786C}"/>
    <cellStyle name="20% - Accent4 8 2 3" xfId="12608" xr:uid="{39C92E8A-D6BC-470A-9EEF-F39DFC5039EB}"/>
    <cellStyle name="20% - Accent4 8 3" xfId="6181" xr:uid="{00000000-0005-0000-0000-00007D020000}"/>
    <cellStyle name="20% - Accent4 8 3 2" xfId="14676" xr:uid="{AD76A712-11FE-490D-877C-522882597327}"/>
    <cellStyle name="20% - Accent4 8 4" xfId="10463" xr:uid="{B2C85C90-B1EB-46CE-AA3C-8551CB6DE35B}"/>
    <cellStyle name="20% - Accent4 9" xfId="2288" xr:uid="{00000000-0005-0000-0000-00007E020000}"/>
    <cellStyle name="20% - Accent4 9 2" xfId="6594" xr:uid="{00000000-0005-0000-0000-00007F020000}"/>
    <cellStyle name="20% - Accent4 9 2 2" xfId="15089" xr:uid="{782936F5-8D1F-4055-8B06-F61B9262F67B}"/>
    <cellStyle name="20% - Accent4 9 3" xfId="10876" xr:uid="{CFB08A02-658E-4E4F-B2BF-9C209C664DC2}"/>
    <cellStyle name="20% - Accent5" xfId="33" builtinId="46" customBuiltin="1"/>
    <cellStyle name="20% - Accent5 10" xfId="4536" xr:uid="{00000000-0005-0000-0000-000081020000}"/>
    <cellStyle name="20% - Accent5 10 2" xfId="13032" xr:uid="{CF9C615A-B481-44B5-854C-FA208BF036D9}"/>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93" xr:uid="{381F8E69-0CEC-44C1-8377-109DBF8B0692}"/>
    <cellStyle name="20% - Accent5 2 2 2 2 2 3" xfId="11380" xr:uid="{AA7EF0C8-FB19-4C1D-B508-BD6A1923AF6C}"/>
    <cellStyle name="20% - Accent5 2 2 2 2 3" xfId="4953" xr:uid="{00000000-0005-0000-0000-000088020000}"/>
    <cellStyle name="20% - Accent5 2 2 2 2 3 2" xfId="13448" xr:uid="{522AF0D3-2A13-4DAE-9558-A8F7F4D414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006" xr:uid="{426EBCAB-AD94-43DC-AA56-992CC35A4342}"/>
    <cellStyle name="20% - Accent5 2 2 2 3 2 3" xfId="11793" xr:uid="{4A6162EA-4A95-4124-B473-BFEB1BE82947}"/>
    <cellStyle name="20% - Accent5 2 2 2 3 3" xfId="5366" xr:uid="{00000000-0005-0000-0000-00008C020000}"/>
    <cellStyle name="20% - Accent5 2 2 2 3 3 2" xfId="13861" xr:uid="{DC13A449-0C4F-40A3-90EF-8CD5ECCD3F77}"/>
    <cellStyle name="20% - Accent5 2 2 2 3 4" xfId="9648" xr:uid="{7F92F8D8-073F-42B2-AB69-17096CB8AEA3}"/>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419" xr:uid="{15912291-2B42-45BA-B281-F4A384A6569C}"/>
    <cellStyle name="20% - Accent5 2 2 2 4 2 3" xfId="12206" xr:uid="{FCCC0AD7-E2E3-495F-9649-171083A14375}"/>
    <cellStyle name="20% - Accent5 2 2 2 4 3" xfId="5779" xr:uid="{00000000-0005-0000-0000-000090020000}"/>
    <cellStyle name="20% - Accent5 2 2 2 4 3 2" xfId="14274" xr:uid="{FB1D675C-71F6-4BD5-9C64-BAAAD2A8F836}"/>
    <cellStyle name="20% - Accent5 2 2 2 4 4" xfId="10061" xr:uid="{ED1A9BB2-F044-40D3-8A87-61DDE538A641}"/>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832" xr:uid="{786040F3-105B-46E1-A358-AD815E0CAB40}"/>
    <cellStyle name="20% - Accent5 2 2 2 5 2 3" xfId="12619" xr:uid="{FA61EBC8-5ED9-4268-B00B-CC73A5D3388E}"/>
    <cellStyle name="20% - Accent5 2 2 2 5 3" xfId="6192" xr:uid="{00000000-0005-0000-0000-000094020000}"/>
    <cellStyle name="20% - Accent5 2 2 2 5 3 2" xfId="14687" xr:uid="{66F19E73-CF8E-4AC9-B158-329158B98EDE}"/>
    <cellStyle name="20% - Accent5 2 2 2 5 4" xfId="10474" xr:uid="{5380F44C-6FBD-4CD6-9BBD-974B9D35DEA1}"/>
    <cellStyle name="20% - Accent5 2 2 2 6" xfId="2299" xr:uid="{00000000-0005-0000-0000-000095020000}"/>
    <cellStyle name="20% - Accent5 2 2 2 6 2" xfId="6605" xr:uid="{00000000-0005-0000-0000-000096020000}"/>
    <cellStyle name="20% - Accent5 2 2 2 6 2 2" xfId="15100" xr:uid="{CF79A546-15AB-4613-98F8-8EA6036F84F4}"/>
    <cellStyle name="20% - Accent5 2 2 2 6 3" xfId="10887" xr:uid="{A7DB21F3-5D4F-42A2-A1E9-700745F6F397}"/>
    <cellStyle name="20% - Accent5 2 2 2 7" xfId="4539" xr:uid="{00000000-0005-0000-0000-000097020000}"/>
    <cellStyle name="20% - Accent5 2 2 2 7 2" xfId="13035" xr:uid="{88F8A548-2FEF-4150-B888-52CFF3E17206}"/>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92" xr:uid="{83F7C113-E43B-454C-A472-711A53764412}"/>
    <cellStyle name="20% - Accent5 2 2 3 2 3" xfId="11379" xr:uid="{D1E97F1D-2616-4018-80C3-8129FD2C7B09}"/>
    <cellStyle name="20% - Accent5 2 2 3 3" xfId="4952" xr:uid="{00000000-0005-0000-0000-00009B020000}"/>
    <cellStyle name="20% - Accent5 2 2 3 3 2" xfId="13447" xr:uid="{51477248-8D15-47C2-92B4-4E038E42CE8C}"/>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005" xr:uid="{8E658A71-77E1-4336-94B2-54286AA72F0A}"/>
    <cellStyle name="20% - Accent5 2 2 4 2 3" xfId="11792" xr:uid="{4DE2A428-6C90-4764-A91C-29DF03DA457D}"/>
    <cellStyle name="20% - Accent5 2 2 4 3" xfId="5365" xr:uid="{00000000-0005-0000-0000-00009F020000}"/>
    <cellStyle name="20% - Accent5 2 2 4 3 2" xfId="13860" xr:uid="{ACAD0E8D-3338-40A9-9C66-64F3F8AC172A}"/>
    <cellStyle name="20% - Accent5 2 2 4 4" xfId="9647" xr:uid="{F66FC565-207B-498A-BF12-E24BB33A529F}"/>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418" xr:uid="{6DD0685A-9D4E-45AE-B75F-943A79A8E97D}"/>
    <cellStyle name="20% - Accent5 2 2 5 2 3" xfId="12205" xr:uid="{F2C9084A-526F-4CED-AB97-95E9F632E842}"/>
    <cellStyle name="20% - Accent5 2 2 5 3" xfId="5778" xr:uid="{00000000-0005-0000-0000-0000A3020000}"/>
    <cellStyle name="20% - Accent5 2 2 5 3 2" xfId="14273" xr:uid="{37E1B943-59C0-492E-9021-1F23920BCE97}"/>
    <cellStyle name="20% - Accent5 2 2 5 4" xfId="10060" xr:uid="{86D155E5-CEC1-4F9A-859E-F72975E0411D}"/>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831" xr:uid="{FF732823-6262-4B43-84BF-05C2D2B9BE6F}"/>
    <cellStyle name="20% - Accent5 2 2 6 2 3" xfId="12618" xr:uid="{CD564480-ED4A-4DEA-9F35-2D3CCD919839}"/>
    <cellStyle name="20% - Accent5 2 2 6 3" xfId="6191" xr:uid="{00000000-0005-0000-0000-0000A7020000}"/>
    <cellStyle name="20% - Accent5 2 2 6 3 2" xfId="14686" xr:uid="{61150A2D-32EA-461E-9C54-DD4DDB18538E}"/>
    <cellStyle name="20% - Accent5 2 2 6 4" xfId="10473" xr:uid="{A80EAD99-E3C9-4EF5-98D0-43A3EA1A1590}"/>
    <cellStyle name="20% - Accent5 2 2 7" xfId="2298" xr:uid="{00000000-0005-0000-0000-0000A8020000}"/>
    <cellStyle name="20% - Accent5 2 2 7 2" xfId="6604" xr:uid="{00000000-0005-0000-0000-0000A9020000}"/>
    <cellStyle name="20% - Accent5 2 2 7 2 2" xfId="15099" xr:uid="{3B38E57C-8AAA-4A37-9DB1-C81B2E26894C}"/>
    <cellStyle name="20% - Accent5 2 2 7 3" xfId="10886" xr:uid="{C20F4513-B98F-4FD1-B105-8893A893B823}"/>
    <cellStyle name="20% - Accent5 2 2 8" xfId="4538" xr:uid="{00000000-0005-0000-0000-0000AA020000}"/>
    <cellStyle name="20% - Accent5 2 2 8 2" xfId="13034" xr:uid="{E276CA4B-00DC-4290-9203-C63E746C66D1}"/>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94" xr:uid="{D73ECA37-BB8D-48D6-B5A0-C927F3E708D8}"/>
    <cellStyle name="20% - Accent5 2 3 2 2 3" xfId="11381" xr:uid="{DD29BEF5-4A03-4B9E-817C-6C2AEA2BD363}"/>
    <cellStyle name="20% - Accent5 2 3 2 3" xfId="4954" xr:uid="{00000000-0005-0000-0000-0000AF020000}"/>
    <cellStyle name="20% - Accent5 2 3 2 3 2" xfId="13449" xr:uid="{2102AB98-B0BD-48E0-97C5-AE403A367347}"/>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007" xr:uid="{E38E5EDA-1765-43FC-9B00-B6E32D883F63}"/>
    <cellStyle name="20% - Accent5 2 3 3 2 3" xfId="11794" xr:uid="{D951AF4A-CED5-44C2-9E1B-7BF68B8CFDE6}"/>
    <cellStyle name="20% - Accent5 2 3 3 3" xfId="5367" xr:uid="{00000000-0005-0000-0000-0000B3020000}"/>
    <cellStyle name="20% - Accent5 2 3 3 3 2" xfId="13862" xr:uid="{30ADDA36-6A09-4CF3-9FA8-3FF21C270799}"/>
    <cellStyle name="20% - Accent5 2 3 3 4" xfId="9649" xr:uid="{5046199A-6523-47C6-8BA3-7E163085863B}"/>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420" xr:uid="{9EE647AD-F8C8-4EFD-8130-D636BC254E2D}"/>
    <cellStyle name="20% - Accent5 2 3 4 2 3" xfId="12207" xr:uid="{4558D72C-E7E8-4BD7-995A-E78699674350}"/>
    <cellStyle name="20% - Accent5 2 3 4 3" xfId="5780" xr:uid="{00000000-0005-0000-0000-0000B7020000}"/>
    <cellStyle name="20% - Accent5 2 3 4 3 2" xfId="14275" xr:uid="{95DFC992-8B4E-470A-9510-D2A4C238CF1C}"/>
    <cellStyle name="20% - Accent5 2 3 4 4" xfId="10062" xr:uid="{94AB4926-7D20-43C9-9ACD-F7EBF4365919}"/>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833" xr:uid="{296C9A94-5E60-4EA5-B8CF-E25A7D11D1EB}"/>
    <cellStyle name="20% - Accent5 2 3 5 2 3" xfId="12620" xr:uid="{78D3619B-0999-41E4-9F56-F8700462DE7F}"/>
    <cellStyle name="20% - Accent5 2 3 5 3" xfId="6193" xr:uid="{00000000-0005-0000-0000-0000BB020000}"/>
    <cellStyle name="20% - Accent5 2 3 5 3 2" xfId="14688" xr:uid="{A2370689-07BA-4276-9BA2-A8768BC1AA71}"/>
    <cellStyle name="20% - Accent5 2 3 5 4" xfId="10475" xr:uid="{CCB3FE54-FEFF-4B07-8DCC-C3C133F18535}"/>
    <cellStyle name="20% - Accent5 2 3 6" xfId="2300" xr:uid="{00000000-0005-0000-0000-0000BC020000}"/>
    <cellStyle name="20% - Accent5 2 3 6 2" xfId="6606" xr:uid="{00000000-0005-0000-0000-0000BD020000}"/>
    <cellStyle name="20% - Accent5 2 3 6 2 2" xfId="15101" xr:uid="{A2FAC5E6-2B3D-47FA-A774-DA89CB1A73B1}"/>
    <cellStyle name="20% - Accent5 2 3 6 3" xfId="10888" xr:uid="{43E38A5B-2457-488F-80FF-0E3424A4C53E}"/>
    <cellStyle name="20% - Accent5 2 3 7" xfId="4540" xr:uid="{00000000-0005-0000-0000-0000BE020000}"/>
    <cellStyle name="20% - Accent5 2 3 7 2" xfId="13036" xr:uid="{6CAB6BDA-5D9A-4BA9-AC43-9D37B59A5711}"/>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91" xr:uid="{2CCA48A9-584C-42C4-9419-C41126AF56A3}"/>
    <cellStyle name="20% - Accent5 2 4 2 3" xfId="11378" xr:uid="{ADBCE920-2E45-4653-A773-5B435026D9BC}"/>
    <cellStyle name="20% - Accent5 2 4 3" xfId="4951" xr:uid="{00000000-0005-0000-0000-0000C2020000}"/>
    <cellStyle name="20% - Accent5 2 4 3 2" xfId="13446" xr:uid="{408C455D-6543-4C8B-9385-C2D32B802BBE}"/>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004" xr:uid="{8DEAE84F-D543-4A4A-84C5-75346B11D36F}"/>
    <cellStyle name="20% - Accent5 2 5 2 3" xfId="11791" xr:uid="{7214A4EB-F8B1-48D2-999B-A5DBCD0828B4}"/>
    <cellStyle name="20% - Accent5 2 5 3" xfId="5364" xr:uid="{00000000-0005-0000-0000-0000C6020000}"/>
    <cellStyle name="20% - Accent5 2 5 3 2" xfId="13859" xr:uid="{684E1AF6-6FB5-47EE-B178-C944F0239119}"/>
    <cellStyle name="20% - Accent5 2 5 4" xfId="9646" xr:uid="{EBACE8BB-52D5-4C15-8689-A91BFAC19610}"/>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417" xr:uid="{E9C4F653-AD76-44AB-9DE4-CC183320CC58}"/>
    <cellStyle name="20% - Accent5 2 6 2 3" xfId="12204" xr:uid="{B55445B4-61E0-406A-8C56-F39DD6A0B850}"/>
    <cellStyle name="20% - Accent5 2 6 3" xfId="5777" xr:uid="{00000000-0005-0000-0000-0000CA020000}"/>
    <cellStyle name="20% - Accent5 2 6 3 2" xfId="14272" xr:uid="{EC1F650D-4D2E-4DD1-B1BB-901374A532B1}"/>
    <cellStyle name="20% - Accent5 2 6 4" xfId="10059" xr:uid="{F445AD7B-73F2-4D18-BBE9-361E7EBC978F}"/>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830" xr:uid="{8452E31D-DFA7-4679-AA44-EC1E93155254}"/>
    <cellStyle name="20% - Accent5 2 7 2 3" xfId="12617" xr:uid="{BA1805A7-4C1F-4CB6-B354-26790DC87DA0}"/>
    <cellStyle name="20% - Accent5 2 7 3" xfId="6190" xr:uid="{00000000-0005-0000-0000-0000CE020000}"/>
    <cellStyle name="20% - Accent5 2 7 3 2" xfId="14685" xr:uid="{7A528AEB-C8EB-409A-ABA7-5F98EFB28A09}"/>
    <cellStyle name="20% - Accent5 2 7 4" xfId="10472" xr:uid="{C1C1FC7A-AAFF-406C-A1BF-8310A0577CD1}"/>
    <cellStyle name="20% - Accent5 2 8" xfId="2297" xr:uid="{00000000-0005-0000-0000-0000CF020000}"/>
    <cellStyle name="20% - Accent5 2 8 2" xfId="6603" xr:uid="{00000000-0005-0000-0000-0000D0020000}"/>
    <cellStyle name="20% - Accent5 2 8 2 2" xfId="15098" xr:uid="{6F427996-26AA-49FC-9890-021B059AC97C}"/>
    <cellStyle name="20% - Accent5 2 8 3" xfId="10885" xr:uid="{014C85BF-2648-4DFB-B4DA-0635E459D956}"/>
    <cellStyle name="20% - Accent5 2 9" xfId="4537" xr:uid="{00000000-0005-0000-0000-0000D1020000}"/>
    <cellStyle name="20% - Accent5 2 9 2" xfId="13033" xr:uid="{2BFA83BF-F346-494F-9F03-7F1901B91FAD}"/>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96" xr:uid="{ADB5D0C6-E17F-4424-847E-9991E30A2ACB}"/>
    <cellStyle name="20% - Accent5 3 2 2 2 3" xfId="11383" xr:uid="{BD84142D-E623-4D45-8EF1-6AE0D9DAF932}"/>
    <cellStyle name="20% - Accent5 3 2 2 3" xfId="4956" xr:uid="{00000000-0005-0000-0000-0000D7020000}"/>
    <cellStyle name="20% - Accent5 3 2 2 3 2" xfId="13451" xr:uid="{53F16854-68D1-4C45-B916-3B2DE756D634}"/>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009" xr:uid="{6B05A354-B74E-4411-B507-BC2B19E83BD2}"/>
    <cellStyle name="20% - Accent5 3 2 3 2 3" xfId="11796" xr:uid="{F962B358-ACF2-4B99-9DE6-293B83A735ED}"/>
    <cellStyle name="20% - Accent5 3 2 3 3" xfId="5369" xr:uid="{00000000-0005-0000-0000-0000DB020000}"/>
    <cellStyle name="20% - Accent5 3 2 3 3 2" xfId="13864" xr:uid="{D9EF50C8-9BE5-44F6-A65F-0531773AA7FC}"/>
    <cellStyle name="20% - Accent5 3 2 3 4" xfId="9651" xr:uid="{D9F0B266-909A-4C4D-B374-DF81C9DFE549}"/>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422" xr:uid="{4DE16FFC-FBD1-4113-A229-B609DADC9D59}"/>
    <cellStyle name="20% - Accent5 3 2 4 2 3" xfId="12209" xr:uid="{29AA2BF9-7384-4C72-AB80-3485ADF75553}"/>
    <cellStyle name="20% - Accent5 3 2 4 3" xfId="5782" xr:uid="{00000000-0005-0000-0000-0000DF020000}"/>
    <cellStyle name="20% - Accent5 3 2 4 3 2" xfId="14277" xr:uid="{2A2DADF7-C404-4CC3-8FE0-562763E74146}"/>
    <cellStyle name="20% - Accent5 3 2 4 4" xfId="10064" xr:uid="{71818C89-C95B-46AC-8B8D-C28A04CDE277}"/>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835" xr:uid="{B9184737-3775-44CB-9E8B-A2FCAF116DC5}"/>
    <cellStyle name="20% - Accent5 3 2 5 2 3" xfId="12622" xr:uid="{58A8E177-0AB4-4396-987D-738F83DF61B4}"/>
    <cellStyle name="20% - Accent5 3 2 5 3" xfId="6195" xr:uid="{00000000-0005-0000-0000-0000E3020000}"/>
    <cellStyle name="20% - Accent5 3 2 5 3 2" xfId="14690" xr:uid="{CEB6074B-89A0-4860-B733-B5CCC4A3874F}"/>
    <cellStyle name="20% - Accent5 3 2 5 4" xfId="10477" xr:uid="{EDFA338E-A36D-4F1E-95C5-41D14248A618}"/>
    <cellStyle name="20% - Accent5 3 2 6" xfId="2302" xr:uid="{00000000-0005-0000-0000-0000E4020000}"/>
    <cellStyle name="20% - Accent5 3 2 6 2" xfId="6608" xr:uid="{00000000-0005-0000-0000-0000E5020000}"/>
    <cellStyle name="20% - Accent5 3 2 6 2 2" xfId="15103" xr:uid="{5C6A3648-2C68-42BD-AB34-CA7D2A024ABB}"/>
    <cellStyle name="20% - Accent5 3 2 6 3" xfId="10890" xr:uid="{033BB5D9-7685-435E-917F-C41657EF9170}"/>
    <cellStyle name="20% - Accent5 3 2 7" xfId="4542" xr:uid="{00000000-0005-0000-0000-0000E6020000}"/>
    <cellStyle name="20% - Accent5 3 2 7 2" xfId="13038" xr:uid="{7779B64C-5CAE-4C8B-875E-ECB5B1BC2F24}"/>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95" xr:uid="{88A6A85A-D3E9-469E-87CF-D042075CF29F}"/>
    <cellStyle name="20% - Accent5 3 3 2 3" xfId="11382" xr:uid="{8AE358F7-3AF0-4472-9E6F-F61559CC8D2D}"/>
    <cellStyle name="20% - Accent5 3 3 3" xfId="4955" xr:uid="{00000000-0005-0000-0000-0000EA020000}"/>
    <cellStyle name="20% - Accent5 3 3 3 2" xfId="13450" xr:uid="{C31CDC53-7F5F-4969-AAA5-0F752D41991B}"/>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008" xr:uid="{19F09B98-D7BF-4A49-8D88-6C45E9F6906E}"/>
    <cellStyle name="20% - Accent5 3 4 2 3" xfId="11795" xr:uid="{26F1B4DC-C46E-4245-8963-CAED4766FBDE}"/>
    <cellStyle name="20% - Accent5 3 4 3" xfId="5368" xr:uid="{00000000-0005-0000-0000-0000EE020000}"/>
    <cellStyle name="20% - Accent5 3 4 3 2" xfId="13863" xr:uid="{27B21E6E-2D24-4D29-B1A2-D9176531019C}"/>
    <cellStyle name="20% - Accent5 3 4 4" xfId="9650" xr:uid="{39E48923-2B42-4D83-A9F9-2191219F309B}"/>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421" xr:uid="{125A778D-BA50-4F8B-A546-961B00B844E4}"/>
    <cellStyle name="20% - Accent5 3 5 2 3" xfId="12208" xr:uid="{13A7D629-A406-4843-8F11-C3271FDE7715}"/>
    <cellStyle name="20% - Accent5 3 5 3" xfId="5781" xr:uid="{00000000-0005-0000-0000-0000F2020000}"/>
    <cellStyle name="20% - Accent5 3 5 3 2" xfId="14276" xr:uid="{F4940E7A-484B-4C26-AE6A-3A8C177F8441}"/>
    <cellStyle name="20% - Accent5 3 5 4" xfId="10063" xr:uid="{4A257AE4-BB12-4634-B1CE-417AD4F78062}"/>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834" xr:uid="{39ECEECC-A257-4BA0-A335-D9378F24EF01}"/>
    <cellStyle name="20% - Accent5 3 6 2 3" xfId="12621" xr:uid="{4180EE0A-F7A0-4D19-9BDF-ACA445DE4404}"/>
    <cellStyle name="20% - Accent5 3 6 3" xfId="6194" xr:uid="{00000000-0005-0000-0000-0000F6020000}"/>
    <cellStyle name="20% - Accent5 3 6 3 2" xfId="14689" xr:uid="{8E714F16-2182-40D7-91A0-FF8EA30039F4}"/>
    <cellStyle name="20% - Accent5 3 6 4" xfId="10476" xr:uid="{4169DF52-FD2C-46B8-AC4F-BEC4A0E49FBF}"/>
    <cellStyle name="20% - Accent5 3 7" xfId="2301" xr:uid="{00000000-0005-0000-0000-0000F7020000}"/>
    <cellStyle name="20% - Accent5 3 7 2" xfId="6607" xr:uid="{00000000-0005-0000-0000-0000F8020000}"/>
    <cellStyle name="20% - Accent5 3 7 2 2" xfId="15102" xr:uid="{8E4E96A1-5E40-4906-B4D8-7B7D7E3ABE5B}"/>
    <cellStyle name="20% - Accent5 3 7 3" xfId="10889" xr:uid="{A109CB36-B4EF-411F-A5DC-D33718D252B2}"/>
    <cellStyle name="20% - Accent5 3 8" xfId="4541" xr:uid="{00000000-0005-0000-0000-0000F9020000}"/>
    <cellStyle name="20% - Accent5 3 8 2" xfId="13037" xr:uid="{18591085-9666-4F8E-9596-9389303D8ECA}"/>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97" xr:uid="{8B62A640-C2ED-49B7-915F-C78BBD840DE2}"/>
    <cellStyle name="20% - Accent5 4 2 2 3" xfId="11384" xr:uid="{7305EE13-A07F-4188-9074-E60E42717EA2}"/>
    <cellStyle name="20% - Accent5 4 2 3" xfId="4957" xr:uid="{00000000-0005-0000-0000-0000FE020000}"/>
    <cellStyle name="20% - Accent5 4 2 3 2" xfId="13452" xr:uid="{1D522B72-00BA-454F-9F3C-E71ABFFBA635}"/>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010" xr:uid="{5F4F33FB-968B-4209-976E-0A8C1C732937}"/>
    <cellStyle name="20% - Accent5 4 3 2 3" xfId="11797" xr:uid="{92E021E2-C9A7-41C7-A6B8-C404E1CC2EA2}"/>
    <cellStyle name="20% - Accent5 4 3 3" xfId="5370" xr:uid="{00000000-0005-0000-0000-000002030000}"/>
    <cellStyle name="20% - Accent5 4 3 3 2" xfId="13865" xr:uid="{C461D66F-914C-4F10-9F76-F8028F4A9AB6}"/>
    <cellStyle name="20% - Accent5 4 3 4" xfId="9652" xr:uid="{A9C1EDB1-C7FD-460F-9F1B-0AEED4A9524A}"/>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423" xr:uid="{651917EA-D01F-4B75-9A02-EBBF77F2FDF4}"/>
    <cellStyle name="20% - Accent5 4 4 2 3" xfId="12210" xr:uid="{5DADA3EF-94BE-4125-B522-A0C14F909275}"/>
    <cellStyle name="20% - Accent5 4 4 3" xfId="5783" xr:uid="{00000000-0005-0000-0000-000006030000}"/>
    <cellStyle name="20% - Accent5 4 4 3 2" xfId="14278" xr:uid="{51F043A4-588A-4966-BFE2-6F8A9232247A}"/>
    <cellStyle name="20% - Accent5 4 4 4" xfId="10065" xr:uid="{40E398DD-4B0E-423F-AD2B-698834F40BD9}"/>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836" xr:uid="{F6EDFEE4-7482-4A14-B1B9-F67C09EBF63F}"/>
    <cellStyle name="20% - Accent5 4 5 2 3" xfId="12623" xr:uid="{F9E53EE4-AE18-4EBE-B784-1363FD5CB26D}"/>
    <cellStyle name="20% - Accent5 4 5 3" xfId="6196" xr:uid="{00000000-0005-0000-0000-00000A030000}"/>
    <cellStyle name="20% - Accent5 4 5 3 2" xfId="14691" xr:uid="{B0EF81F1-7C2A-4B1B-A8C2-662AA680B2DA}"/>
    <cellStyle name="20% - Accent5 4 5 4" xfId="10478" xr:uid="{A3728B96-5561-49C2-92A1-BAB8AA954491}"/>
    <cellStyle name="20% - Accent5 4 6" xfId="2303" xr:uid="{00000000-0005-0000-0000-00000B030000}"/>
    <cellStyle name="20% - Accent5 4 6 2" xfId="6609" xr:uid="{00000000-0005-0000-0000-00000C030000}"/>
    <cellStyle name="20% - Accent5 4 6 2 2" xfId="15104" xr:uid="{F983544D-09EA-4D74-B6A4-AC7FFECF2766}"/>
    <cellStyle name="20% - Accent5 4 6 3" xfId="10891" xr:uid="{A87B8938-4267-4A99-B99E-3DEB8B39B024}"/>
    <cellStyle name="20% - Accent5 4 7" xfId="4543" xr:uid="{00000000-0005-0000-0000-00000D030000}"/>
    <cellStyle name="20% - Accent5 4 7 2" xfId="13039" xr:uid="{EB751EC1-69AF-4C60-BA48-865AB26FAD74}"/>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2 2 2" xfId="15590" xr:uid="{1C5931FB-94D2-4890-83F2-28CB8FB56D0B}"/>
    <cellStyle name="20% - Accent5 5 2 3" xfId="11377" xr:uid="{15CDC587-6975-483A-BB3C-18D415C787EC}"/>
    <cellStyle name="20% - Accent5 5 3" xfId="4950" xr:uid="{00000000-0005-0000-0000-000011030000}"/>
    <cellStyle name="20% - Accent5 5 3 2" xfId="13445" xr:uid="{1A4FDE4E-C0FB-4C0D-9CC0-E805E31E3A49}"/>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2 2 2" xfId="16003" xr:uid="{2347357D-06BE-41E7-8477-52C573FB16E5}"/>
    <cellStyle name="20% - Accent5 6 2 3" xfId="11790" xr:uid="{79ABA062-D85A-411C-AA45-6CE606C3A35C}"/>
    <cellStyle name="20% - Accent5 6 3" xfId="5363" xr:uid="{00000000-0005-0000-0000-000015030000}"/>
    <cellStyle name="20% - Accent5 6 3 2" xfId="13858" xr:uid="{E1715981-97E4-4DE1-B2CC-EAE9BC1E53A0}"/>
    <cellStyle name="20% - Accent5 6 4" xfId="9645" xr:uid="{EDC2963A-AB43-482B-9418-BB90D2A7401D}"/>
    <cellStyle name="20% - Accent5 7" xfId="1469" xr:uid="{00000000-0005-0000-0000-000016030000}"/>
    <cellStyle name="20% - Accent5 7 2" xfId="3699" xr:uid="{00000000-0005-0000-0000-000017030000}"/>
    <cellStyle name="20% - Accent5 7 2 2" xfId="7921" xr:uid="{00000000-0005-0000-0000-000018030000}"/>
    <cellStyle name="20% - Accent5 7 2 2 2" xfId="16416" xr:uid="{C2A3D6AD-DE9D-4E7D-AFE9-678B6E772151}"/>
    <cellStyle name="20% - Accent5 7 2 3" xfId="12203" xr:uid="{94A77582-7F0A-4B67-94CE-D6455FF4B9C9}"/>
    <cellStyle name="20% - Accent5 7 3" xfId="5776" xr:uid="{00000000-0005-0000-0000-000019030000}"/>
    <cellStyle name="20% - Accent5 7 3 2" xfId="14271" xr:uid="{7886B7B9-D2AE-401F-8312-3CE05C12D2EC}"/>
    <cellStyle name="20% - Accent5 7 4" xfId="10058" xr:uid="{CC25D286-595C-4E82-A628-28F2F04D66D4}"/>
    <cellStyle name="20% - Accent5 8" xfId="1883" xr:uid="{00000000-0005-0000-0000-00001A030000}"/>
    <cellStyle name="20% - Accent5 8 2" xfId="4112" xr:uid="{00000000-0005-0000-0000-00001B030000}"/>
    <cellStyle name="20% - Accent5 8 2 2" xfId="8334" xr:uid="{00000000-0005-0000-0000-00001C030000}"/>
    <cellStyle name="20% - Accent5 8 2 2 2" xfId="16829" xr:uid="{5053CBE2-43CC-4698-AE56-A333D48A2953}"/>
    <cellStyle name="20% - Accent5 8 2 3" xfId="12616" xr:uid="{E1037055-55BA-425E-B29C-28A07E04F161}"/>
    <cellStyle name="20% - Accent5 8 3" xfId="6189" xr:uid="{00000000-0005-0000-0000-00001D030000}"/>
    <cellStyle name="20% - Accent5 8 3 2" xfId="14684" xr:uid="{ABEE988F-3CF3-4A60-A000-92347861F971}"/>
    <cellStyle name="20% - Accent5 8 4" xfId="10471" xr:uid="{82DD7C30-2F0E-45CB-A599-D1B3B99751EC}"/>
    <cellStyle name="20% - Accent5 9" xfId="2296" xr:uid="{00000000-0005-0000-0000-00001E030000}"/>
    <cellStyle name="20% - Accent5 9 2" xfId="6602" xr:uid="{00000000-0005-0000-0000-00001F030000}"/>
    <cellStyle name="20% - Accent5 9 2 2" xfId="15097" xr:uid="{990B6CA7-D4EB-4DFA-ABC9-9654E86BD5C0}"/>
    <cellStyle name="20% - Accent5 9 3" xfId="10884" xr:uid="{EAF3E8B9-F980-4EB7-B574-101CA2067021}"/>
    <cellStyle name="20% - Accent6" xfId="41" builtinId="50" customBuiltin="1"/>
    <cellStyle name="20% - Accent6 10" xfId="4544" xr:uid="{00000000-0005-0000-0000-000021030000}"/>
    <cellStyle name="20% - Accent6 10 2" xfId="13040" xr:uid="{BE3C28D6-74B3-42F6-B2A2-0C1C2F4F093E}"/>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601" xr:uid="{D2D845DC-5954-467B-8AF2-D0A56CE16CF9}"/>
    <cellStyle name="20% - Accent6 2 2 2 2 2 3" xfId="11388" xr:uid="{8E145338-F917-441B-80BC-930B798E4BBB}"/>
    <cellStyle name="20% - Accent6 2 2 2 2 3" xfId="4961" xr:uid="{00000000-0005-0000-0000-000028030000}"/>
    <cellStyle name="20% - Accent6 2 2 2 2 3 2" xfId="13456" xr:uid="{EB310B42-845E-42E2-8EA4-D48A05753C9F}"/>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014" xr:uid="{B5BEAD60-1E0E-4B71-B876-3F3B87F58D18}"/>
    <cellStyle name="20% - Accent6 2 2 2 3 2 3" xfId="11801" xr:uid="{ECAF7B3E-3C62-4EDF-86C9-3420E292C257}"/>
    <cellStyle name="20% - Accent6 2 2 2 3 3" xfId="5374" xr:uid="{00000000-0005-0000-0000-00002C030000}"/>
    <cellStyle name="20% - Accent6 2 2 2 3 3 2" xfId="13869" xr:uid="{1C2D6357-5386-42F7-BE16-7AB90E23A764}"/>
    <cellStyle name="20% - Accent6 2 2 2 3 4" xfId="9656" xr:uid="{5F47C69C-2B17-4FCE-98F6-0451361AB69A}"/>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427" xr:uid="{8F713F27-7E3F-4000-8A01-F6EEE1AE33FE}"/>
    <cellStyle name="20% - Accent6 2 2 2 4 2 3" xfId="12214" xr:uid="{9D2C2450-2358-41F1-9980-ACF8A5151ACC}"/>
    <cellStyle name="20% - Accent6 2 2 2 4 3" xfId="5787" xr:uid="{00000000-0005-0000-0000-000030030000}"/>
    <cellStyle name="20% - Accent6 2 2 2 4 3 2" xfId="14282" xr:uid="{5C7B4DFF-BA64-408F-8903-3FFE6ACC9A37}"/>
    <cellStyle name="20% - Accent6 2 2 2 4 4" xfId="10069" xr:uid="{79214B9A-B481-4AD2-B77A-3F8396B2F433}"/>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840" xr:uid="{F952FACF-0EA4-4078-82B3-78C791421F10}"/>
    <cellStyle name="20% - Accent6 2 2 2 5 2 3" xfId="12627" xr:uid="{A94C3EF2-B6C8-4A2B-A4A3-49EDFAB3078E}"/>
    <cellStyle name="20% - Accent6 2 2 2 5 3" xfId="6200" xr:uid="{00000000-0005-0000-0000-000034030000}"/>
    <cellStyle name="20% - Accent6 2 2 2 5 3 2" xfId="14695" xr:uid="{EC321C92-47D9-477B-9A36-8C8D694E38E7}"/>
    <cellStyle name="20% - Accent6 2 2 2 5 4" xfId="10482" xr:uid="{CC2B1939-6E5D-492A-AAD6-D222951CDAAE}"/>
    <cellStyle name="20% - Accent6 2 2 2 6" xfId="2307" xr:uid="{00000000-0005-0000-0000-000035030000}"/>
    <cellStyle name="20% - Accent6 2 2 2 6 2" xfId="6613" xr:uid="{00000000-0005-0000-0000-000036030000}"/>
    <cellStyle name="20% - Accent6 2 2 2 6 2 2" xfId="15108" xr:uid="{5D4ABF0C-DBBA-410E-BC98-97DE252941A8}"/>
    <cellStyle name="20% - Accent6 2 2 2 6 3" xfId="10895" xr:uid="{75C596E3-A2DB-4052-A4F1-99821D4A2951}"/>
    <cellStyle name="20% - Accent6 2 2 2 7" xfId="4547" xr:uid="{00000000-0005-0000-0000-000037030000}"/>
    <cellStyle name="20% - Accent6 2 2 2 7 2" xfId="13043" xr:uid="{CE08D591-F658-44EE-A94C-85B4872C60B9}"/>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600" xr:uid="{4A3B878C-DC1B-4705-B45C-7D782F5E678F}"/>
    <cellStyle name="20% - Accent6 2 2 3 2 3" xfId="11387" xr:uid="{3516D8E4-1B72-4FDC-963D-81C5D4AC0452}"/>
    <cellStyle name="20% - Accent6 2 2 3 3" xfId="4960" xr:uid="{00000000-0005-0000-0000-00003B030000}"/>
    <cellStyle name="20% - Accent6 2 2 3 3 2" xfId="13455" xr:uid="{5563429D-39E4-417A-9702-CF34CD9E96A7}"/>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013" xr:uid="{A48ABC61-0A68-44C2-983E-71E2A924DBB0}"/>
    <cellStyle name="20% - Accent6 2 2 4 2 3" xfId="11800" xr:uid="{C97581A7-A61E-4319-B81C-050A31226E7A}"/>
    <cellStyle name="20% - Accent6 2 2 4 3" xfId="5373" xr:uid="{00000000-0005-0000-0000-00003F030000}"/>
    <cellStyle name="20% - Accent6 2 2 4 3 2" xfId="13868" xr:uid="{AD722095-A36A-45E7-937D-2B3FA6863FDE}"/>
    <cellStyle name="20% - Accent6 2 2 4 4" xfId="9655" xr:uid="{698EAD3B-07ED-41D4-B975-F3927EA7ADF8}"/>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426" xr:uid="{4BB8140A-FB6A-4F91-A768-D3B642B3C6A1}"/>
    <cellStyle name="20% - Accent6 2 2 5 2 3" xfId="12213" xr:uid="{5607DA86-CB25-4365-AF0E-4D288BD843DF}"/>
    <cellStyle name="20% - Accent6 2 2 5 3" xfId="5786" xr:uid="{00000000-0005-0000-0000-000043030000}"/>
    <cellStyle name="20% - Accent6 2 2 5 3 2" xfId="14281" xr:uid="{4E9EF50B-9108-4A9E-8B6D-F2E8E72B532B}"/>
    <cellStyle name="20% - Accent6 2 2 5 4" xfId="10068" xr:uid="{F6203258-F94A-4975-B143-BFFBE1E0CE53}"/>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839" xr:uid="{0FB264A3-60CF-4EA3-B41C-ED35031804CB}"/>
    <cellStyle name="20% - Accent6 2 2 6 2 3" xfId="12626" xr:uid="{707D9DA8-B0DE-42F9-BE7C-D654A29F25CA}"/>
    <cellStyle name="20% - Accent6 2 2 6 3" xfId="6199" xr:uid="{00000000-0005-0000-0000-000047030000}"/>
    <cellStyle name="20% - Accent6 2 2 6 3 2" xfId="14694" xr:uid="{5E57CE23-6E95-4178-958D-DC2D9ECCC912}"/>
    <cellStyle name="20% - Accent6 2 2 6 4" xfId="10481" xr:uid="{CCAB603B-7746-45E8-AFDB-369ABE3DA29B}"/>
    <cellStyle name="20% - Accent6 2 2 7" xfId="2306" xr:uid="{00000000-0005-0000-0000-000048030000}"/>
    <cellStyle name="20% - Accent6 2 2 7 2" xfId="6612" xr:uid="{00000000-0005-0000-0000-000049030000}"/>
    <cellStyle name="20% - Accent6 2 2 7 2 2" xfId="15107" xr:uid="{8D0A7A6D-41B5-4154-8FFF-03C2F3F8F679}"/>
    <cellStyle name="20% - Accent6 2 2 7 3" xfId="10894" xr:uid="{E1BFD386-B3CB-47D8-BB8C-FF3191F71A48}"/>
    <cellStyle name="20% - Accent6 2 2 8" xfId="4546" xr:uid="{00000000-0005-0000-0000-00004A030000}"/>
    <cellStyle name="20% - Accent6 2 2 8 2" xfId="13042" xr:uid="{4D99C9A2-0725-477F-9A09-3ADF9F2FBE21}"/>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602" xr:uid="{3229CCC1-4212-4629-A2B4-110D4A923607}"/>
    <cellStyle name="20% - Accent6 2 3 2 2 3" xfId="11389" xr:uid="{AEEBA687-07B2-4B3A-B30C-47576458C1DD}"/>
    <cellStyle name="20% - Accent6 2 3 2 3" xfId="4962" xr:uid="{00000000-0005-0000-0000-00004F030000}"/>
    <cellStyle name="20% - Accent6 2 3 2 3 2" xfId="13457" xr:uid="{A03C8D65-EF91-4DAA-AB3C-1A2976050EE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015" xr:uid="{978753BF-FD65-40E1-AD0C-12C6557FD8B3}"/>
    <cellStyle name="20% - Accent6 2 3 3 2 3" xfId="11802" xr:uid="{6474261C-BDC6-42D2-B78E-4270BF5CF3EC}"/>
    <cellStyle name="20% - Accent6 2 3 3 3" xfId="5375" xr:uid="{00000000-0005-0000-0000-000053030000}"/>
    <cellStyle name="20% - Accent6 2 3 3 3 2" xfId="13870" xr:uid="{0B659FBF-8F57-4BFD-BF22-BBD41C17A06B}"/>
    <cellStyle name="20% - Accent6 2 3 3 4" xfId="9657" xr:uid="{2059F06F-483F-4A8A-9609-4B0A995DA9CB}"/>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428" xr:uid="{59F5D85E-A06A-404A-B082-28761C17E8B3}"/>
    <cellStyle name="20% - Accent6 2 3 4 2 3" xfId="12215" xr:uid="{A61C6176-E52C-4014-9743-D8F8B8A157FC}"/>
    <cellStyle name="20% - Accent6 2 3 4 3" xfId="5788" xr:uid="{00000000-0005-0000-0000-000057030000}"/>
    <cellStyle name="20% - Accent6 2 3 4 3 2" xfId="14283" xr:uid="{FED3709B-5498-4044-92F3-59C1B6ED5DC9}"/>
    <cellStyle name="20% - Accent6 2 3 4 4" xfId="10070" xr:uid="{86B3DD97-C676-42B3-A3DA-B344CF376474}"/>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841" xr:uid="{E7041628-1438-423D-AA0B-54E92132AF7A}"/>
    <cellStyle name="20% - Accent6 2 3 5 2 3" xfId="12628" xr:uid="{600048EF-6BD1-4F40-BD4B-7FC5F9D3896C}"/>
    <cellStyle name="20% - Accent6 2 3 5 3" xfId="6201" xr:uid="{00000000-0005-0000-0000-00005B030000}"/>
    <cellStyle name="20% - Accent6 2 3 5 3 2" xfId="14696" xr:uid="{0C120740-9078-41A6-86EF-839CA1CF3EA1}"/>
    <cellStyle name="20% - Accent6 2 3 5 4" xfId="10483" xr:uid="{1920C670-63DE-43CE-9FBB-7389FBC922DA}"/>
    <cellStyle name="20% - Accent6 2 3 6" xfId="2308" xr:uid="{00000000-0005-0000-0000-00005C030000}"/>
    <cellStyle name="20% - Accent6 2 3 6 2" xfId="6614" xr:uid="{00000000-0005-0000-0000-00005D030000}"/>
    <cellStyle name="20% - Accent6 2 3 6 2 2" xfId="15109" xr:uid="{F14CC7E8-22E5-425F-92FD-7A2D7CB3078C}"/>
    <cellStyle name="20% - Accent6 2 3 6 3" xfId="10896" xr:uid="{505E8907-0FCE-4CFC-8AD8-AB7DD76A1C6C}"/>
    <cellStyle name="20% - Accent6 2 3 7" xfId="4548" xr:uid="{00000000-0005-0000-0000-00005E030000}"/>
    <cellStyle name="20% - Accent6 2 3 7 2" xfId="13044" xr:uid="{0033D350-4BFC-45E4-9DBF-86744BBB5DB5}"/>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99" xr:uid="{58E67FF0-B895-4C78-9FAC-01F2E2B3341B}"/>
    <cellStyle name="20% - Accent6 2 4 2 3" xfId="11386" xr:uid="{D71C3A5F-7669-400D-8C6D-FE1047F95796}"/>
    <cellStyle name="20% - Accent6 2 4 3" xfId="4959" xr:uid="{00000000-0005-0000-0000-000062030000}"/>
    <cellStyle name="20% - Accent6 2 4 3 2" xfId="13454" xr:uid="{B3B9C3FB-E22E-475A-9B4B-C532911B3ECF}"/>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012" xr:uid="{54FC8B37-325D-4F27-80EA-07CA4E628E58}"/>
    <cellStyle name="20% - Accent6 2 5 2 3" xfId="11799" xr:uid="{06776963-162A-4762-8611-BEDB0BB006C9}"/>
    <cellStyle name="20% - Accent6 2 5 3" xfId="5372" xr:uid="{00000000-0005-0000-0000-000066030000}"/>
    <cellStyle name="20% - Accent6 2 5 3 2" xfId="13867" xr:uid="{85E4F26F-071D-4AAC-AEA5-93C28557F3A6}"/>
    <cellStyle name="20% - Accent6 2 5 4" xfId="9654" xr:uid="{6461C7ED-5F26-455F-8D57-853D85B68BBA}"/>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425" xr:uid="{A3DA2BD0-1C87-4CF4-8493-02BF89084C64}"/>
    <cellStyle name="20% - Accent6 2 6 2 3" xfId="12212" xr:uid="{EE99D2D7-6F07-4C3F-B09B-9E5ACB2E4D36}"/>
    <cellStyle name="20% - Accent6 2 6 3" xfId="5785" xr:uid="{00000000-0005-0000-0000-00006A030000}"/>
    <cellStyle name="20% - Accent6 2 6 3 2" xfId="14280" xr:uid="{EE27F919-C328-465F-957B-1670FB87D5A7}"/>
    <cellStyle name="20% - Accent6 2 6 4" xfId="10067" xr:uid="{D3897B27-C48B-4A57-A7B8-C2BBE8BC1E98}"/>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838" xr:uid="{857EFE30-9EF0-49CB-A57B-3255D3FD29CE}"/>
    <cellStyle name="20% - Accent6 2 7 2 3" xfId="12625" xr:uid="{EAC7E661-18D1-4DB1-96A8-DD5C6C678109}"/>
    <cellStyle name="20% - Accent6 2 7 3" xfId="6198" xr:uid="{00000000-0005-0000-0000-00006E030000}"/>
    <cellStyle name="20% - Accent6 2 7 3 2" xfId="14693" xr:uid="{7D40E5A4-971E-49E1-BC1E-E0BB78B89F17}"/>
    <cellStyle name="20% - Accent6 2 7 4" xfId="10480" xr:uid="{AE32A809-93D1-4FCC-8D32-EA28F5664A4E}"/>
    <cellStyle name="20% - Accent6 2 8" xfId="2305" xr:uid="{00000000-0005-0000-0000-00006F030000}"/>
    <cellStyle name="20% - Accent6 2 8 2" xfId="6611" xr:uid="{00000000-0005-0000-0000-000070030000}"/>
    <cellStyle name="20% - Accent6 2 8 2 2" xfId="15106" xr:uid="{888D7B75-3774-4952-A0B7-A724AC7CA698}"/>
    <cellStyle name="20% - Accent6 2 8 3" xfId="10893" xr:uid="{B8CD412E-F122-4368-A8B1-3F8A49DBE1C1}"/>
    <cellStyle name="20% - Accent6 2 9" xfId="4545" xr:uid="{00000000-0005-0000-0000-000071030000}"/>
    <cellStyle name="20% - Accent6 2 9 2" xfId="13041" xr:uid="{D513F33B-D277-40D8-AC9F-B0E54796C138}"/>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604" xr:uid="{7E0676B3-E59C-499C-B550-29CA9D23C9EA}"/>
    <cellStyle name="20% - Accent6 3 2 2 2 3" xfId="11391" xr:uid="{465432DA-713F-4933-A2D3-783C78331479}"/>
    <cellStyle name="20% - Accent6 3 2 2 3" xfId="4964" xr:uid="{00000000-0005-0000-0000-000077030000}"/>
    <cellStyle name="20% - Accent6 3 2 2 3 2" xfId="13459" xr:uid="{FCC006E6-B635-4CA6-A7AE-DDB1918FDA3C}"/>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017" xr:uid="{2906A2D2-2F46-4D7F-8431-F2200C0BB233}"/>
    <cellStyle name="20% - Accent6 3 2 3 2 3" xfId="11804" xr:uid="{9790F386-8BD5-4874-9D37-75D5F06A10CF}"/>
    <cellStyle name="20% - Accent6 3 2 3 3" xfId="5377" xr:uid="{00000000-0005-0000-0000-00007B030000}"/>
    <cellStyle name="20% - Accent6 3 2 3 3 2" xfId="13872" xr:uid="{BD6180FE-6F8C-4082-8BDD-127D0907796A}"/>
    <cellStyle name="20% - Accent6 3 2 3 4" xfId="9659" xr:uid="{7D51EB42-383E-4E3D-A41C-551DE212AD55}"/>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430" xr:uid="{E1DFCAA6-DD26-4C3B-B039-55EE0B4D980E}"/>
    <cellStyle name="20% - Accent6 3 2 4 2 3" xfId="12217" xr:uid="{8332BDE6-7DD0-4C5B-BDE5-5A45ABD28758}"/>
    <cellStyle name="20% - Accent6 3 2 4 3" xfId="5790" xr:uid="{00000000-0005-0000-0000-00007F030000}"/>
    <cellStyle name="20% - Accent6 3 2 4 3 2" xfId="14285" xr:uid="{B1319BF7-8EF3-4434-B98D-0B270999E74C}"/>
    <cellStyle name="20% - Accent6 3 2 4 4" xfId="10072" xr:uid="{8B49E675-0A72-4EF0-8CFD-2FDF12930418}"/>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843" xr:uid="{AB49A781-7F0F-4748-9DD9-884DB59EE123}"/>
    <cellStyle name="20% - Accent6 3 2 5 2 3" xfId="12630" xr:uid="{4109BB65-9281-47C0-B14D-83C3AADAE9FD}"/>
    <cellStyle name="20% - Accent6 3 2 5 3" xfId="6203" xr:uid="{00000000-0005-0000-0000-000083030000}"/>
    <cellStyle name="20% - Accent6 3 2 5 3 2" xfId="14698" xr:uid="{3949FEEF-5AD4-4684-996B-7A8BE28AC1FA}"/>
    <cellStyle name="20% - Accent6 3 2 5 4" xfId="10485" xr:uid="{F1D0D2E6-A61E-4A66-B594-3AA1F8B51ED9}"/>
    <cellStyle name="20% - Accent6 3 2 6" xfId="2310" xr:uid="{00000000-0005-0000-0000-000084030000}"/>
    <cellStyle name="20% - Accent6 3 2 6 2" xfId="6616" xr:uid="{00000000-0005-0000-0000-000085030000}"/>
    <cellStyle name="20% - Accent6 3 2 6 2 2" xfId="15111" xr:uid="{E9E98A20-2ED9-4E18-AED2-05BD8979FA8F}"/>
    <cellStyle name="20% - Accent6 3 2 6 3" xfId="10898" xr:uid="{2577EAC4-C6B9-40B9-A715-D13FAED952C4}"/>
    <cellStyle name="20% - Accent6 3 2 7" xfId="4550" xr:uid="{00000000-0005-0000-0000-000086030000}"/>
    <cellStyle name="20% - Accent6 3 2 7 2" xfId="13046" xr:uid="{B56A832D-B194-4A94-ADC9-40C5B279151F}"/>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2 2 2" xfId="15603" xr:uid="{1C359FED-43AB-4D96-894E-312B6E4833FA}"/>
    <cellStyle name="20% - Accent6 3 3 2 3" xfId="11390" xr:uid="{34F4A0AA-DCD6-4E2A-BA39-4DF7F8C38F1A}"/>
    <cellStyle name="20% - Accent6 3 3 3" xfId="4963" xr:uid="{00000000-0005-0000-0000-00008A030000}"/>
    <cellStyle name="20% - Accent6 3 3 3 2" xfId="13458" xr:uid="{3C0A2FA3-6E8B-400A-B8CB-1ED81D65379E}"/>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016" xr:uid="{43C788CD-FBC5-40A0-A167-A1AF581B4444}"/>
    <cellStyle name="20% - Accent6 3 4 2 3" xfId="11803" xr:uid="{454A1BA2-8751-4B06-A22F-93011F41A686}"/>
    <cellStyle name="20% - Accent6 3 4 3" xfId="5376" xr:uid="{00000000-0005-0000-0000-00008E030000}"/>
    <cellStyle name="20% - Accent6 3 4 3 2" xfId="13871" xr:uid="{1308DB4C-14F2-415D-A33F-2E81B0C6B0D6}"/>
    <cellStyle name="20% - Accent6 3 4 4" xfId="9658" xr:uid="{E492BB70-A958-450D-9CB6-F657271EA713}"/>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429" xr:uid="{FFA5480A-244B-421C-B37A-780B0902EEC9}"/>
    <cellStyle name="20% - Accent6 3 5 2 3" xfId="12216" xr:uid="{F5D87147-7731-48EB-81B4-761442AC00C1}"/>
    <cellStyle name="20% - Accent6 3 5 3" xfId="5789" xr:uid="{00000000-0005-0000-0000-000092030000}"/>
    <cellStyle name="20% - Accent6 3 5 3 2" xfId="14284" xr:uid="{FF7311E1-CEC3-4FD0-8538-4ADE169BA980}"/>
    <cellStyle name="20% - Accent6 3 5 4" xfId="10071" xr:uid="{032B03DD-FE27-40B6-8882-4D85DAB0AF9C}"/>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842" xr:uid="{A6C4ED30-3476-46AC-AA3E-C90F5521B2A9}"/>
    <cellStyle name="20% - Accent6 3 6 2 3" xfId="12629" xr:uid="{14773DF1-DEFC-423F-A49E-E743D8DB3F8C}"/>
    <cellStyle name="20% - Accent6 3 6 3" xfId="6202" xr:uid="{00000000-0005-0000-0000-000096030000}"/>
    <cellStyle name="20% - Accent6 3 6 3 2" xfId="14697" xr:uid="{60F7BE9E-2E49-4560-B1A5-5B49CCFB9D21}"/>
    <cellStyle name="20% - Accent6 3 6 4" xfId="10484" xr:uid="{B3DC245B-43E8-4D60-8A91-708BDD7FB283}"/>
    <cellStyle name="20% - Accent6 3 7" xfId="2309" xr:uid="{00000000-0005-0000-0000-000097030000}"/>
    <cellStyle name="20% - Accent6 3 7 2" xfId="6615" xr:uid="{00000000-0005-0000-0000-000098030000}"/>
    <cellStyle name="20% - Accent6 3 7 2 2" xfId="15110" xr:uid="{9FEF2F16-9D62-4A5C-B4FB-B92C98371F64}"/>
    <cellStyle name="20% - Accent6 3 7 3" xfId="10897" xr:uid="{369E1075-1821-496A-9A88-2EFB6DF023B3}"/>
    <cellStyle name="20% - Accent6 3 8" xfId="4549" xr:uid="{00000000-0005-0000-0000-000099030000}"/>
    <cellStyle name="20% - Accent6 3 8 2" xfId="13045" xr:uid="{260EF812-1C3B-4C1E-A302-E1B86D5CF576}"/>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605" xr:uid="{C91683A3-0207-46F1-8FAA-9B4EF9A03F35}"/>
    <cellStyle name="20% - Accent6 4 2 2 3" xfId="11392" xr:uid="{02C0E3C9-E862-4D62-8033-491D35E8B7E4}"/>
    <cellStyle name="20% - Accent6 4 2 3" xfId="4965" xr:uid="{00000000-0005-0000-0000-00009E030000}"/>
    <cellStyle name="20% - Accent6 4 2 3 2" xfId="13460" xr:uid="{A75D5CA8-1A12-488C-A9A4-34C8CFB6EC3A}"/>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018" xr:uid="{836B328F-E4C4-4F1D-923A-EF763F1598B9}"/>
    <cellStyle name="20% - Accent6 4 3 2 3" xfId="11805" xr:uid="{164D3306-0F29-4FA5-A183-0E0F5A25D723}"/>
    <cellStyle name="20% - Accent6 4 3 3" xfId="5378" xr:uid="{00000000-0005-0000-0000-0000A2030000}"/>
    <cellStyle name="20% - Accent6 4 3 3 2" xfId="13873" xr:uid="{970E5B82-A90F-4550-9C0B-1423E09F78C3}"/>
    <cellStyle name="20% - Accent6 4 3 4" xfId="9660" xr:uid="{B063C8FE-9029-463A-BA95-15C7E11E065D}"/>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431" xr:uid="{894EAF25-71AC-4552-9CAB-631FBDA9700B}"/>
    <cellStyle name="20% - Accent6 4 4 2 3" xfId="12218" xr:uid="{E6477E05-AC87-4846-981A-00CD24BE3407}"/>
    <cellStyle name="20% - Accent6 4 4 3" xfId="5791" xr:uid="{00000000-0005-0000-0000-0000A6030000}"/>
    <cellStyle name="20% - Accent6 4 4 3 2" xfId="14286" xr:uid="{6E388C28-9F3C-408A-9A36-4621A6533D20}"/>
    <cellStyle name="20% - Accent6 4 4 4" xfId="10073" xr:uid="{8B2C5BC7-EA4A-43D2-8E95-4DC9FC4B5BAF}"/>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844" xr:uid="{C2147057-1A9E-4DA7-8067-5679983AA0E2}"/>
    <cellStyle name="20% - Accent6 4 5 2 3" xfId="12631" xr:uid="{4E7FEE3C-6CA8-42B2-8BBB-767272A3F175}"/>
    <cellStyle name="20% - Accent6 4 5 3" xfId="6204" xr:uid="{00000000-0005-0000-0000-0000AA030000}"/>
    <cellStyle name="20% - Accent6 4 5 3 2" xfId="14699" xr:uid="{CBFC513E-8FB0-4F03-9649-074B63C9196B}"/>
    <cellStyle name="20% - Accent6 4 5 4" xfId="10486" xr:uid="{529A5B0A-59B1-40FD-BD54-0732AC3A042B}"/>
    <cellStyle name="20% - Accent6 4 6" xfId="2311" xr:uid="{00000000-0005-0000-0000-0000AB030000}"/>
    <cellStyle name="20% - Accent6 4 6 2" xfId="6617" xr:uid="{00000000-0005-0000-0000-0000AC030000}"/>
    <cellStyle name="20% - Accent6 4 6 2 2" xfId="15112" xr:uid="{D1E91F56-D698-4A8E-9F6F-B994C29E0223}"/>
    <cellStyle name="20% - Accent6 4 6 3" xfId="10899" xr:uid="{4CD1A776-25B0-4282-80A3-ECF803249B54}"/>
    <cellStyle name="20% - Accent6 4 7" xfId="4551" xr:uid="{00000000-0005-0000-0000-0000AD030000}"/>
    <cellStyle name="20% - Accent6 4 7 2" xfId="13047" xr:uid="{CDD396D0-3B99-4929-B1EA-24FFDE2C24C3}"/>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2 2 2" xfId="15598" xr:uid="{607F25AD-6AFB-48B9-84F3-827742E0AC32}"/>
    <cellStyle name="20% - Accent6 5 2 3" xfId="11385" xr:uid="{547CD76A-9C40-45C6-B151-06DCA6472134}"/>
    <cellStyle name="20% - Accent6 5 3" xfId="4958" xr:uid="{00000000-0005-0000-0000-0000B1030000}"/>
    <cellStyle name="20% - Accent6 5 3 2" xfId="13453" xr:uid="{C60890C6-2A67-4667-9F6A-90DAB2671B48}"/>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2 2 2" xfId="16011" xr:uid="{75D5011D-AF5C-417F-90B3-C9A38E4535E5}"/>
    <cellStyle name="20% - Accent6 6 2 3" xfId="11798" xr:uid="{DC195444-5C14-4F78-980B-7225EFB746E8}"/>
    <cellStyle name="20% - Accent6 6 3" xfId="5371" xr:uid="{00000000-0005-0000-0000-0000B5030000}"/>
    <cellStyle name="20% - Accent6 6 3 2" xfId="13866" xr:uid="{45F21482-27A1-4BF5-A2CF-F11AA8426D27}"/>
    <cellStyle name="20% - Accent6 6 4" xfId="9653" xr:uid="{3B6FE9BF-9F72-4379-AD75-847725383248}"/>
    <cellStyle name="20% - Accent6 7" xfId="1477" xr:uid="{00000000-0005-0000-0000-0000B6030000}"/>
    <cellStyle name="20% - Accent6 7 2" xfId="3707" xr:uid="{00000000-0005-0000-0000-0000B7030000}"/>
    <cellStyle name="20% - Accent6 7 2 2" xfId="7929" xr:uid="{00000000-0005-0000-0000-0000B8030000}"/>
    <cellStyle name="20% - Accent6 7 2 2 2" xfId="16424" xr:uid="{14EC00C4-89DB-42DB-92FC-D994D6905EE2}"/>
    <cellStyle name="20% - Accent6 7 2 3" xfId="12211" xr:uid="{CB36E178-056A-4B82-8E95-346BC3EDF865}"/>
    <cellStyle name="20% - Accent6 7 3" xfId="5784" xr:uid="{00000000-0005-0000-0000-0000B9030000}"/>
    <cellStyle name="20% - Accent6 7 3 2" xfId="14279" xr:uid="{74B727A1-E6D0-4893-8DD3-A841021971EE}"/>
    <cellStyle name="20% - Accent6 7 4" xfId="10066" xr:uid="{F8A4FFE6-7D26-43EA-B45C-52DC1B992F4D}"/>
    <cellStyle name="20% - Accent6 8" xfId="1891" xr:uid="{00000000-0005-0000-0000-0000BA030000}"/>
    <cellStyle name="20% - Accent6 8 2" xfId="4120" xr:uid="{00000000-0005-0000-0000-0000BB030000}"/>
    <cellStyle name="20% - Accent6 8 2 2" xfId="8342" xr:uid="{00000000-0005-0000-0000-0000BC030000}"/>
    <cellStyle name="20% - Accent6 8 2 2 2" xfId="16837" xr:uid="{3B2D6B68-6446-4DC9-8D8D-C30D7F21297F}"/>
    <cellStyle name="20% - Accent6 8 2 3" xfId="12624" xr:uid="{A966A50F-18F5-4B5F-BBDF-9039FFA0C361}"/>
    <cellStyle name="20% - Accent6 8 3" xfId="6197" xr:uid="{00000000-0005-0000-0000-0000BD030000}"/>
    <cellStyle name="20% - Accent6 8 3 2" xfId="14692" xr:uid="{41F87F1F-A77D-41FF-9BF8-40187DAC86F5}"/>
    <cellStyle name="20% - Accent6 8 4" xfId="10479" xr:uid="{EBBBD679-B560-493F-9E41-51935B3B3BB0}"/>
    <cellStyle name="20% - Accent6 9" xfId="2304" xr:uid="{00000000-0005-0000-0000-0000BE030000}"/>
    <cellStyle name="20% - Accent6 9 2" xfId="6610" xr:uid="{00000000-0005-0000-0000-0000BF030000}"/>
    <cellStyle name="20% - Accent6 9 2 2" xfId="15105" xr:uid="{543042CB-2C4E-44D6-9144-A02C4081F2A7}"/>
    <cellStyle name="20% - Accent6 9 3" xfId="10892" xr:uid="{C40BA5D1-B740-4F2E-A1CC-6398A8C89835}"/>
    <cellStyle name="40% - Accent1" xfId="49" builtinId="31" customBuiltin="1"/>
    <cellStyle name="40% - Accent1 10" xfId="4552" xr:uid="{00000000-0005-0000-0000-0000C1030000}"/>
    <cellStyle name="40% - Accent1 10 2" xfId="13048" xr:uid="{787791C9-5C42-4975-8F51-E152A84866BF}"/>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609" xr:uid="{A37A00F9-765A-4E5B-8737-908036D2809D}"/>
    <cellStyle name="40% - Accent1 2 2 2 2 2 3" xfId="11396" xr:uid="{2A072061-DB15-4DB1-8339-726033DBA383}"/>
    <cellStyle name="40% - Accent1 2 2 2 2 3" xfId="4969" xr:uid="{00000000-0005-0000-0000-0000C8030000}"/>
    <cellStyle name="40% - Accent1 2 2 2 2 3 2" xfId="13464" xr:uid="{2664BBC5-9829-4CFF-8992-8172CD97A7E3}"/>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022" xr:uid="{5C5DCF3F-5365-4637-AF5E-53C7A4895E01}"/>
    <cellStyle name="40% - Accent1 2 2 2 3 2 3" xfId="11809" xr:uid="{DA703D6A-363E-498A-AC4D-B3D0180720C9}"/>
    <cellStyle name="40% - Accent1 2 2 2 3 3" xfId="5382" xr:uid="{00000000-0005-0000-0000-0000CC030000}"/>
    <cellStyle name="40% - Accent1 2 2 2 3 3 2" xfId="13877" xr:uid="{012A9390-1FB5-4350-9ABF-48B587F98806}"/>
    <cellStyle name="40% - Accent1 2 2 2 3 4" xfId="9664" xr:uid="{B19A1BCC-EB56-4E11-B6F8-B11D0F01A029}"/>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435" xr:uid="{0508659E-C03F-41B7-AC46-F09BC071D271}"/>
    <cellStyle name="40% - Accent1 2 2 2 4 2 3" xfId="12222" xr:uid="{05EA66F4-9AD7-43AF-B18E-40005F024EB2}"/>
    <cellStyle name="40% - Accent1 2 2 2 4 3" xfId="5795" xr:uid="{00000000-0005-0000-0000-0000D0030000}"/>
    <cellStyle name="40% - Accent1 2 2 2 4 3 2" xfId="14290" xr:uid="{2E42ECEF-A082-4D41-8506-41491FD56B91}"/>
    <cellStyle name="40% - Accent1 2 2 2 4 4" xfId="10077" xr:uid="{E6D0BC89-789E-4343-8359-C13FE83B91E6}"/>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48" xr:uid="{C82A246A-99D1-4CCA-8832-3E7221470D9E}"/>
    <cellStyle name="40% - Accent1 2 2 2 5 2 3" xfId="12635" xr:uid="{49DD6F2E-5352-441D-8BA9-301ED07FE568}"/>
    <cellStyle name="40% - Accent1 2 2 2 5 3" xfId="6208" xr:uid="{00000000-0005-0000-0000-0000D4030000}"/>
    <cellStyle name="40% - Accent1 2 2 2 5 3 2" xfId="14703" xr:uid="{51ABC47F-A0E2-416F-A4DF-7BDB1F7DA0A7}"/>
    <cellStyle name="40% - Accent1 2 2 2 5 4" xfId="10490" xr:uid="{69A4420A-830B-4366-96F1-D80F9822A60D}"/>
    <cellStyle name="40% - Accent1 2 2 2 6" xfId="2315" xr:uid="{00000000-0005-0000-0000-0000D5030000}"/>
    <cellStyle name="40% - Accent1 2 2 2 6 2" xfId="6621" xr:uid="{00000000-0005-0000-0000-0000D6030000}"/>
    <cellStyle name="40% - Accent1 2 2 2 6 2 2" xfId="15116" xr:uid="{380E7E05-3ADF-4D87-922D-24C1B217D530}"/>
    <cellStyle name="40% - Accent1 2 2 2 6 3" xfId="10903" xr:uid="{CE54735C-8A74-4C3E-8CDE-D99FE7D9FC34}"/>
    <cellStyle name="40% - Accent1 2 2 2 7" xfId="4555" xr:uid="{00000000-0005-0000-0000-0000D7030000}"/>
    <cellStyle name="40% - Accent1 2 2 2 7 2" xfId="13051" xr:uid="{188B17C9-F389-4AF0-B9E9-FD4C8F2319BE}"/>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608" xr:uid="{5958E45E-BAAE-4336-B1B6-1CF83891B1C1}"/>
    <cellStyle name="40% - Accent1 2 2 3 2 3" xfId="11395" xr:uid="{4DB3723D-FAAA-4FCB-9AE1-6A38137265D0}"/>
    <cellStyle name="40% - Accent1 2 2 3 3" xfId="4968" xr:uid="{00000000-0005-0000-0000-0000DB030000}"/>
    <cellStyle name="40% - Accent1 2 2 3 3 2" xfId="13463" xr:uid="{E1E7D16B-98EE-465C-958E-DF2282001EA2}"/>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021" xr:uid="{A1A83E19-6C06-4CBC-A50D-9D10FFD9A509}"/>
    <cellStyle name="40% - Accent1 2 2 4 2 3" xfId="11808" xr:uid="{D6DC4ACC-8D1E-4206-8146-58D23DB0E6C8}"/>
    <cellStyle name="40% - Accent1 2 2 4 3" xfId="5381" xr:uid="{00000000-0005-0000-0000-0000DF030000}"/>
    <cellStyle name="40% - Accent1 2 2 4 3 2" xfId="13876" xr:uid="{B6EC5DBE-D332-408A-85BE-A9CE2E04981A}"/>
    <cellStyle name="40% - Accent1 2 2 4 4" xfId="9663" xr:uid="{C098EA34-2FE7-4F38-B14E-C5395BCF0283}"/>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434" xr:uid="{F77C8D87-504D-4816-B9AA-F5F41498B5F1}"/>
    <cellStyle name="40% - Accent1 2 2 5 2 3" xfId="12221" xr:uid="{7D38C56E-6F25-4CDB-887E-419D50903DB2}"/>
    <cellStyle name="40% - Accent1 2 2 5 3" xfId="5794" xr:uid="{00000000-0005-0000-0000-0000E3030000}"/>
    <cellStyle name="40% - Accent1 2 2 5 3 2" xfId="14289" xr:uid="{00C07F9D-2EBB-4A84-A617-ED18ACE944A8}"/>
    <cellStyle name="40% - Accent1 2 2 5 4" xfId="10076" xr:uid="{515000E6-34C8-4533-8A29-D00713EC8053}"/>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47" xr:uid="{0EFF8BE0-20DD-4CDD-ABAE-3EAB2E70852D}"/>
    <cellStyle name="40% - Accent1 2 2 6 2 3" xfId="12634" xr:uid="{014E479B-DAD1-4BDF-BB3A-6C8B70BDE6A9}"/>
    <cellStyle name="40% - Accent1 2 2 6 3" xfId="6207" xr:uid="{00000000-0005-0000-0000-0000E7030000}"/>
    <cellStyle name="40% - Accent1 2 2 6 3 2" xfId="14702" xr:uid="{CCAB4E9F-D81B-43D9-A1E9-7DE370B08EF5}"/>
    <cellStyle name="40% - Accent1 2 2 6 4" xfId="10489" xr:uid="{B1270A4F-879F-432F-B3D3-79D63A11C1F1}"/>
    <cellStyle name="40% - Accent1 2 2 7" xfId="2314" xr:uid="{00000000-0005-0000-0000-0000E8030000}"/>
    <cellStyle name="40% - Accent1 2 2 7 2" xfId="6620" xr:uid="{00000000-0005-0000-0000-0000E9030000}"/>
    <cellStyle name="40% - Accent1 2 2 7 2 2" xfId="15115" xr:uid="{B7A6F583-F8F4-4892-83E4-FF5BC5CC1AD7}"/>
    <cellStyle name="40% - Accent1 2 2 7 3" xfId="10902" xr:uid="{D8527C15-0885-42EA-893B-3B40CA3D54C8}"/>
    <cellStyle name="40% - Accent1 2 2 8" xfId="4554" xr:uid="{00000000-0005-0000-0000-0000EA030000}"/>
    <cellStyle name="40% - Accent1 2 2 8 2" xfId="13050" xr:uid="{4660217F-9E88-4E33-A5B4-DA1B8EB3C9CB}"/>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610" xr:uid="{79781EE0-B6FF-4EBE-B437-829496F03351}"/>
    <cellStyle name="40% - Accent1 2 3 2 2 3" xfId="11397" xr:uid="{639BB215-CD87-4FFF-B703-928BBCE0ECCB}"/>
    <cellStyle name="40% - Accent1 2 3 2 3" xfId="4970" xr:uid="{00000000-0005-0000-0000-0000EF030000}"/>
    <cellStyle name="40% - Accent1 2 3 2 3 2" xfId="13465" xr:uid="{10F66247-B71C-44AC-8176-88CA698D4108}"/>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023" xr:uid="{0564E732-7595-4558-B428-39ACEF4113A6}"/>
    <cellStyle name="40% - Accent1 2 3 3 2 3" xfId="11810" xr:uid="{213AB981-EC6C-4F21-8AA2-ECCCF09CB25F}"/>
    <cellStyle name="40% - Accent1 2 3 3 3" xfId="5383" xr:uid="{00000000-0005-0000-0000-0000F3030000}"/>
    <cellStyle name="40% - Accent1 2 3 3 3 2" xfId="13878" xr:uid="{17EE4E24-CA13-462E-94C0-921CCDE3949B}"/>
    <cellStyle name="40% - Accent1 2 3 3 4" xfId="9665" xr:uid="{588E42F6-AD48-4BC9-AA75-B4126BD121D2}"/>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436" xr:uid="{FA8B8051-8159-402B-97DC-A2BE9B298CD1}"/>
    <cellStyle name="40% - Accent1 2 3 4 2 3" xfId="12223" xr:uid="{F6ADF508-ABB6-4EDB-AE93-216ABB57FB1B}"/>
    <cellStyle name="40% - Accent1 2 3 4 3" xfId="5796" xr:uid="{00000000-0005-0000-0000-0000F7030000}"/>
    <cellStyle name="40% - Accent1 2 3 4 3 2" xfId="14291" xr:uid="{B82C345F-AD31-4C5B-90A2-8B76AC55BD9F}"/>
    <cellStyle name="40% - Accent1 2 3 4 4" xfId="10078" xr:uid="{D7923E0E-3219-446C-8D77-38560768B08C}"/>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49" xr:uid="{96B267A4-F954-4C03-B9E8-68D470A3A38A}"/>
    <cellStyle name="40% - Accent1 2 3 5 2 3" xfId="12636" xr:uid="{EED2837F-AA47-4E33-A86B-31A61543B633}"/>
    <cellStyle name="40% - Accent1 2 3 5 3" xfId="6209" xr:uid="{00000000-0005-0000-0000-0000FB030000}"/>
    <cellStyle name="40% - Accent1 2 3 5 3 2" xfId="14704" xr:uid="{B3797973-25D2-44AB-985E-292D58EC596F}"/>
    <cellStyle name="40% - Accent1 2 3 5 4" xfId="10491" xr:uid="{BF4D5716-43AA-4953-838A-B32731A94F2A}"/>
    <cellStyle name="40% - Accent1 2 3 6" xfId="2316" xr:uid="{00000000-0005-0000-0000-0000FC030000}"/>
    <cellStyle name="40% - Accent1 2 3 6 2" xfId="6622" xr:uid="{00000000-0005-0000-0000-0000FD030000}"/>
    <cellStyle name="40% - Accent1 2 3 6 2 2" xfId="15117" xr:uid="{D3E351C5-AD78-476B-9541-61009C64DBCA}"/>
    <cellStyle name="40% - Accent1 2 3 6 3" xfId="10904" xr:uid="{224C6884-90AF-41D9-9EBD-E9C1095A679D}"/>
    <cellStyle name="40% - Accent1 2 3 7" xfId="4556" xr:uid="{00000000-0005-0000-0000-0000FE030000}"/>
    <cellStyle name="40% - Accent1 2 3 7 2" xfId="13052" xr:uid="{A75BC717-82D8-4581-8355-9489BAF92F36}"/>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2 2 2" xfId="15607" xr:uid="{A702BE5E-2E2D-4041-B0F0-37100A4C73FA}"/>
    <cellStyle name="40% - Accent1 2 4 2 3" xfId="11394" xr:uid="{DDC321C8-02E6-4FA4-8FF9-7A646D95C790}"/>
    <cellStyle name="40% - Accent1 2 4 3" xfId="4967" xr:uid="{00000000-0005-0000-0000-000002040000}"/>
    <cellStyle name="40% - Accent1 2 4 3 2" xfId="13462" xr:uid="{69826A3B-0859-4B65-91F4-49E885C2972C}"/>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020" xr:uid="{A7C69856-CA54-4DD9-BB03-DA04FF943087}"/>
    <cellStyle name="40% - Accent1 2 5 2 3" xfId="11807" xr:uid="{6A889EA9-36C6-4A6E-9786-EFE80396BEF9}"/>
    <cellStyle name="40% - Accent1 2 5 3" xfId="5380" xr:uid="{00000000-0005-0000-0000-000006040000}"/>
    <cellStyle name="40% - Accent1 2 5 3 2" xfId="13875" xr:uid="{B6120652-4694-4CA8-AB0E-1E58A953BD93}"/>
    <cellStyle name="40% - Accent1 2 5 4" xfId="9662" xr:uid="{F104C17C-CF26-46DB-B3F6-749679B384A9}"/>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433" xr:uid="{9178C52E-0CDF-44BE-8101-B63CEE7A2AB6}"/>
    <cellStyle name="40% - Accent1 2 6 2 3" xfId="12220" xr:uid="{C936A1BB-16C5-4884-B17E-5BF0CF4D34EC}"/>
    <cellStyle name="40% - Accent1 2 6 3" xfId="5793" xr:uid="{00000000-0005-0000-0000-00000A040000}"/>
    <cellStyle name="40% - Accent1 2 6 3 2" xfId="14288" xr:uid="{0FF87A1D-DAE1-49FF-AF94-6D84172C617A}"/>
    <cellStyle name="40% - Accent1 2 6 4" xfId="10075" xr:uid="{1ED8E38C-29FB-4E59-8E04-0D7F95F0FA4D}"/>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46" xr:uid="{0FC315E2-8874-4465-A1D6-D75F6F99F173}"/>
    <cellStyle name="40% - Accent1 2 7 2 3" xfId="12633" xr:uid="{384A2100-CEB9-416D-AD08-9452882E4E76}"/>
    <cellStyle name="40% - Accent1 2 7 3" xfId="6206" xr:uid="{00000000-0005-0000-0000-00000E040000}"/>
    <cellStyle name="40% - Accent1 2 7 3 2" xfId="14701" xr:uid="{54186273-72CE-41D0-A35F-E04833EAB724}"/>
    <cellStyle name="40% - Accent1 2 7 4" xfId="10488" xr:uid="{AB01BDF6-4389-4B83-9B6E-F46EA927DA0C}"/>
    <cellStyle name="40% - Accent1 2 8" xfId="2313" xr:uid="{00000000-0005-0000-0000-00000F040000}"/>
    <cellStyle name="40% - Accent1 2 8 2" xfId="6619" xr:uid="{00000000-0005-0000-0000-000010040000}"/>
    <cellStyle name="40% - Accent1 2 8 2 2" xfId="15114" xr:uid="{79119151-650C-4A21-8E69-E814C5A98510}"/>
    <cellStyle name="40% - Accent1 2 8 3" xfId="10901" xr:uid="{CF6A4D26-3CD1-4A74-A632-32C490E9CEC4}"/>
    <cellStyle name="40% - Accent1 2 9" xfId="4553" xr:uid="{00000000-0005-0000-0000-000011040000}"/>
    <cellStyle name="40% - Accent1 2 9 2" xfId="13049" xr:uid="{98CDCF35-A47F-4FD5-A584-825E7C1501D4}"/>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612" xr:uid="{09397762-8E9E-4DDC-8826-98A4D88AF47C}"/>
    <cellStyle name="40% - Accent1 3 2 2 2 3" xfId="11399" xr:uid="{E5DFAAE1-AE24-407B-8863-087C3ADAD894}"/>
    <cellStyle name="40% - Accent1 3 2 2 3" xfId="4972" xr:uid="{00000000-0005-0000-0000-000017040000}"/>
    <cellStyle name="40% - Accent1 3 2 2 3 2" xfId="13467" xr:uid="{EC58E853-E962-41C8-B8E2-A08E45D00852}"/>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025" xr:uid="{96721BF2-CF80-4EB3-917A-5DAE36436870}"/>
    <cellStyle name="40% - Accent1 3 2 3 2 3" xfId="11812" xr:uid="{8A08B770-4BE7-4E2C-896C-BD832BFFE11F}"/>
    <cellStyle name="40% - Accent1 3 2 3 3" xfId="5385" xr:uid="{00000000-0005-0000-0000-00001B040000}"/>
    <cellStyle name="40% - Accent1 3 2 3 3 2" xfId="13880" xr:uid="{2B764594-4B41-4E11-9E8A-AFB58643C044}"/>
    <cellStyle name="40% - Accent1 3 2 3 4" xfId="9667" xr:uid="{A769BE93-3071-4753-A379-CDD316AACF30}"/>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438" xr:uid="{500261CE-D37B-47B0-920F-6D9C5E7DB369}"/>
    <cellStyle name="40% - Accent1 3 2 4 2 3" xfId="12225" xr:uid="{26DCF7B1-77D5-4D09-8016-68B036EB540C}"/>
    <cellStyle name="40% - Accent1 3 2 4 3" xfId="5798" xr:uid="{00000000-0005-0000-0000-00001F040000}"/>
    <cellStyle name="40% - Accent1 3 2 4 3 2" xfId="14293" xr:uid="{8A5D6797-D2A3-4EB8-971F-6CE3A570DD5B}"/>
    <cellStyle name="40% - Accent1 3 2 4 4" xfId="10080" xr:uid="{42A316A6-2D2E-4CA2-9CB7-4844D8FD67DB}"/>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51" xr:uid="{DA15A8C2-6C37-4814-BA9C-989212171189}"/>
    <cellStyle name="40% - Accent1 3 2 5 2 3" xfId="12638" xr:uid="{5A815E9A-B187-4EE1-BC41-D61F38F036E1}"/>
    <cellStyle name="40% - Accent1 3 2 5 3" xfId="6211" xr:uid="{00000000-0005-0000-0000-000023040000}"/>
    <cellStyle name="40% - Accent1 3 2 5 3 2" xfId="14706" xr:uid="{6066210A-8557-4CC8-A758-DEDF0B20C720}"/>
    <cellStyle name="40% - Accent1 3 2 5 4" xfId="10493" xr:uid="{01B12D7B-207E-4BB5-8368-60A78929CB32}"/>
    <cellStyle name="40% - Accent1 3 2 6" xfId="2318" xr:uid="{00000000-0005-0000-0000-000024040000}"/>
    <cellStyle name="40% - Accent1 3 2 6 2" xfId="6624" xr:uid="{00000000-0005-0000-0000-000025040000}"/>
    <cellStyle name="40% - Accent1 3 2 6 2 2" xfId="15119" xr:uid="{6F40E189-EBAD-4C75-A575-8083B1ACA576}"/>
    <cellStyle name="40% - Accent1 3 2 6 3" xfId="10906" xr:uid="{1AB95EF2-8550-4C8E-824B-B161B955CB4F}"/>
    <cellStyle name="40% - Accent1 3 2 7" xfId="4558" xr:uid="{00000000-0005-0000-0000-000026040000}"/>
    <cellStyle name="40% - Accent1 3 2 7 2" xfId="13054" xr:uid="{686AB953-2F7E-4275-8BE1-ADF6198E2D7B}"/>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2 2 2" xfId="15611" xr:uid="{AC64152C-0117-4157-A2DC-5435A378C099}"/>
    <cellStyle name="40% - Accent1 3 3 2 3" xfId="11398" xr:uid="{56DA307B-4062-4191-9E1A-4A38F4452AAC}"/>
    <cellStyle name="40% - Accent1 3 3 3" xfId="4971" xr:uid="{00000000-0005-0000-0000-00002A040000}"/>
    <cellStyle name="40% - Accent1 3 3 3 2" xfId="13466" xr:uid="{643E331A-5ED5-4105-B53D-C4792686ECD5}"/>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024" xr:uid="{C1A70868-BE0B-44EC-9C73-698CD95ADD27}"/>
    <cellStyle name="40% - Accent1 3 4 2 3" xfId="11811" xr:uid="{EB0F5AFB-4970-4A90-9F40-ECE86DB4BF35}"/>
    <cellStyle name="40% - Accent1 3 4 3" xfId="5384" xr:uid="{00000000-0005-0000-0000-00002E040000}"/>
    <cellStyle name="40% - Accent1 3 4 3 2" xfId="13879" xr:uid="{C492F40A-2904-4986-A441-974B80FC80A4}"/>
    <cellStyle name="40% - Accent1 3 4 4" xfId="9666" xr:uid="{69A865E5-61C0-4F62-A8EC-DB9805FCBD25}"/>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437" xr:uid="{D5C64C97-C420-46C1-A5C8-E654C1221640}"/>
    <cellStyle name="40% - Accent1 3 5 2 3" xfId="12224" xr:uid="{2823DAAC-529C-4773-A39D-D8359BAA5EAE}"/>
    <cellStyle name="40% - Accent1 3 5 3" xfId="5797" xr:uid="{00000000-0005-0000-0000-000032040000}"/>
    <cellStyle name="40% - Accent1 3 5 3 2" xfId="14292" xr:uid="{1403C7DE-B5B0-4713-8762-1D9156CD05EA}"/>
    <cellStyle name="40% - Accent1 3 5 4" xfId="10079" xr:uid="{85B88E22-9FCE-44EF-BF22-113E73440FBD}"/>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50" xr:uid="{730307B7-0018-48F0-9876-7976F10C2D9E}"/>
    <cellStyle name="40% - Accent1 3 6 2 3" xfId="12637" xr:uid="{EBE29ED9-4E67-402B-A4DB-380C380ADB61}"/>
    <cellStyle name="40% - Accent1 3 6 3" xfId="6210" xr:uid="{00000000-0005-0000-0000-000036040000}"/>
    <cellStyle name="40% - Accent1 3 6 3 2" xfId="14705" xr:uid="{95A67860-E073-42DE-AB44-C391B600976F}"/>
    <cellStyle name="40% - Accent1 3 6 4" xfId="10492" xr:uid="{104070E5-808E-4A7B-A9CF-E61A17C0BFC1}"/>
    <cellStyle name="40% - Accent1 3 7" xfId="2317" xr:uid="{00000000-0005-0000-0000-000037040000}"/>
    <cellStyle name="40% - Accent1 3 7 2" xfId="6623" xr:uid="{00000000-0005-0000-0000-000038040000}"/>
    <cellStyle name="40% - Accent1 3 7 2 2" xfId="15118" xr:uid="{481CFC32-8F2F-4D39-ADA5-703C728E65E8}"/>
    <cellStyle name="40% - Accent1 3 7 3" xfId="10905" xr:uid="{33075943-7778-4D97-8C57-E64D0E14FD1F}"/>
    <cellStyle name="40% - Accent1 3 8" xfId="4557" xr:uid="{00000000-0005-0000-0000-000039040000}"/>
    <cellStyle name="40% - Accent1 3 8 2" xfId="13053" xr:uid="{CE73DEF1-E51F-4904-B851-7F3EDBBF457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613" xr:uid="{06B60193-7449-4C5B-A71B-E4BF780F8425}"/>
    <cellStyle name="40% - Accent1 4 2 2 3" xfId="11400" xr:uid="{1BCF452A-0D35-40F7-878D-AA10C2FF875F}"/>
    <cellStyle name="40% - Accent1 4 2 3" xfId="4973" xr:uid="{00000000-0005-0000-0000-00003E040000}"/>
    <cellStyle name="40% - Accent1 4 2 3 2" xfId="13468" xr:uid="{A8B2A40A-F641-4B49-8DF3-87282D2B6357}"/>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026" xr:uid="{5C74DA5E-036B-4300-B359-AADDA402AE92}"/>
    <cellStyle name="40% - Accent1 4 3 2 3" xfId="11813" xr:uid="{6D7A65B5-0B63-490A-94D7-C7CB3CE1808E}"/>
    <cellStyle name="40% - Accent1 4 3 3" xfId="5386" xr:uid="{00000000-0005-0000-0000-000042040000}"/>
    <cellStyle name="40% - Accent1 4 3 3 2" xfId="13881" xr:uid="{03686261-7E38-4ACC-89DC-1A3BD70D7F65}"/>
    <cellStyle name="40% - Accent1 4 3 4" xfId="9668" xr:uid="{BB175522-0A12-45A3-B9DF-71F575DA6142}"/>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439" xr:uid="{7057874D-16F3-4438-AE5E-6A2F29B176FC}"/>
    <cellStyle name="40% - Accent1 4 4 2 3" xfId="12226" xr:uid="{57D0DFFC-7FF1-406B-BE6B-BBBFE09FACE2}"/>
    <cellStyle name="40% - Accent1 4 4 3" xfId="5799" xr:uid="{00000000-0005-0000-0000-000046040000}"/>
    <cellStyle name="40% - Accent1 4 4 3 2" xfId="14294" xr:uid="{281732B5-8D02-4DB5-AD7B-9904E08CFD18}"/>
    <cellStyle name="40% - Accent1 4 4 4" xfId="10081" xr:uid="{F665F8A7-F2F0-4231-967F-24164ED2A09B}"/>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52" xr:uid="{CC9EBB84-56AD-4634-BBF0-599F4D180786}"/>
    <cellStyle name="40% - Accent1 4 5 2 3" xfId="12639" xr:uid="{8AB2B185-D86C-42BD-AB6E-B63FCC649A03}"/>
    <cellStyle name="40% - Accent1 4 5 3" xfId="6212" xr:uid="{00000000-0005-0000-0000-00004A040000}"/>
    <cellStyle name="40% - Accent1 4 5 3 2" xfId="14707" xr:uid="{581DB79E-378C-4FC2-8D86-F17615BE16D8}"/>
    <cellStyle name="40% - Accent1 4 5 4" xfId="10494" xr:uid="{C46980A0-05C3-49BF-9BE9-CD3C53AD0E6A}"/>
    <cellStyle name="40% - Accent1 4 6" xfId="2319" xr:uid="{00000000-0005-0000-0000-00004B040000}"/>
    <cellStyle name="40% - Accent1 4 6 2" xfId="6625" xr:uid="{00000000-0005-0000-0000-00004C040000}"/>
    <cellStyle name="40% - Accent1 4 6 2 2" xfId="15120" xr:uid="{239E6136-3FC7-4357-91CA-1E8FFF8480B5}"/>
    <cellStyle name="40% - Accent1 4 6 3" xfId="10907" xr:uid="{FC013A63-3800-4148-A28B-2DAD4DDE1AEF}"/>
    <cellStyle name="40% - Accent1 4 7" xfId="4559" xr:uid="{00000000-0005-0000-0000-00004D040000}"/>
    <cellStyle name="40% - Accent1 4 7 2" xfId="13055" xr:uid="{45FE35AF-D641-47D7-AE0C-34BE6D80BB8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2 2 2" xfId="15606" xr:uid="{F7356553-F9F2-404A-A455-BED634E3E4D6}"/>
    <cellStyle name="40% - Accent1 5 2 3" xfId="11393" xr:uid="{4D5353AC-B2D8-49C7-9AB6-5A38C9EFDD63}"/>
    <cellStyle name="40% - Accent1 5 3" xfId="4966" xr:uid="{00000000-0005-0000-0000-000051040000}"/>
    <cellStyle name="40% - Accent1 5 3 2" xfId="13461" xr:uid="{67CD42AB-6C7C-4FCB-829E-DABA7008ECB8}"/>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2 2 2" xfId="16019" xr:uid="{8154434B-6479-491F-92D2-DDB9D199C15C}"/>
    <cellStyle name="40% - Accent1 6 2 3" xfId="11806" xr:uid="{05CC76EC-4105-4697-A89A-4382A27B45C0}"/>
    <cellStyle name="40% - Accent1 6 3" xfId="5379" xr:uid="{00000000-0005-0000-0000-000055040000}"/>
    <cellStyle name="40% - Accent1 6 3 2" xfId="13874" xr:uid="{AECAF4B4-247D-4F25-8388-74921804DAA0}"/>
    <cellStyle name="40% - Accent1 6 4" xfId="9661" xr:uid="{4CEAF4CA-8C62-4638-B2DA-341A95E026EC}"/>
    <cellStyle name="40% - Accent1 7" xfId="1485" xr:uid="{00000000-0005-0000-0000-000056040000}"/>
    <cellStyle name="40% - Accent1 7 2" xfId="3715" xr:uid="{00000000-0005-0000-0000-000057040000}"/>
    <cellStyle name="40% - Accent1 7 2 2" xfId="7937" xr:uid="{00000000-0005-0000-0000-000058040000}"/>
    <cellStyle name="40% - Accent1 7 2 2 2" xfId="16432" xr:uid="{1FB5EC07-8E64-40EA-8315-6DC2D6C12F04}"/>
    <cellStyle name="40% - Accent1 7 2 3" xfId="12219" xr:uid="{3EAD932D-42A9-419E-A3F2-418CA5146EF1}"/>
    <cellStyle name="40% - Accent1 7 3" xfId="5792" xr:uid="{00000000-0005-0000-0000-000059040000}"/>
    <cellStyle name="40% - Accent1 7 3 2" xfId="14287" xr:uid="{C5D3CD70-F25B-462D-912A-526C5C1C305E}"/>
    <cellStyle name="40% - Accent1 7 4" xfId="10074" xr:uid="{11C16ECB-9536-4591-BF01-7B6B73397873}"/>
    <cellStyle name="40% - Accent1 8" xfId="1899" xr:uid="{00000000-0005-0000-0000-00005A040000}"/>
    <cellStyle name="40% - Accent1 8 2" xfId="4128" xr:uid="{00000000-0005-0000-0000-00005B040000}"/>
    <cellStyle name="40% - Accent1 8 2 2" xfId="8350" xr:uid="{00000000-0005-0000-0000-00005C040000}"/>
    <cellStyle name="40% - Accent1 8 2 2 2" xfId="16845" xr:uid="{838BF79D-9B35-45AE-95E4-ADECE7465A68}"/>
    <cellStyle name="40% - Accent1 8 2 3" xfId="12632" xr:uid="{9482CAFF-21BE-49AE-B44C-5208B0828D02}"/>
    <cellStyle name="40% - Accent1 8 3" xfId="6205" xr:uid="{00000000-0005-0000-0000-00005D040000}"/>
    <cellStyle name="40% - Accent1 8 3 2" xfId="14700" xr:uid="{41E34CF7-FED9-4B0B-A75F-82DB5943D966}"/>
    <cellStyle name="40% - Accent1 8 4" xfId="10487" xr:uid="{5064156F-4D8E-4C5E-8E35-6C4A82006FD3}"/>
    <cellStyle name="40% - Accent1 9" xfId="2312" xr:uid="{00000000-0005-0000-0000-00005E040000}"/>
    <cellStyle name="40% - Accent1 9 2" xfId="6618" xr:uid="{00000000-0005-0000-0000-00005F040000}"/>
    <cellStyle name="40% - Accent1 9 2 2" xfId="15113" xr:uid="{362E0849-AC18-47CA-9558-5B982886B2C0}"/>
    <cellStyle name="40% - Accent1 9 3" xfId="10900" xr:uid="{7455B149-2BC8-4D77-BC44-D4838014B06D}"/>
    <cellStyle name="40% - Accent2" xfId="57" builtinId="35" customBuiltin="1"/>
    <cellStyle name="40% - Accent2 10" xfId="4560" xr:uid="{00000000-0005-0000-0000-000061040000}"/>
    <cellStyle name="40% - Accent2 10 2" xfId="13056" xr:uid="{65941370-6DD8-4E90-8E2A-76A0EB2B208F}"/>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617" xr:uid="{2EA9B843-FE61-4D8C-80DE-0E6C58B0B505}"/>
    <cellStyle name="40% - Accent2 2 2 2 2 2 3" xfId="11404" xr:uid="{7BA34AC4-781F-4717-9620-7012DB536EFD}"/>
    <cellStyle name="40% - Accent2 2 2 2 2 3" xfId="4977" xr:uid="{00000000-0005-0000-0000-000068040000}"/>
    <cellStyle name="40% - Accent2 2 2 2 2 3 2" xfId="13472" xr:uid="{549A8BE0-BFF9-4620-A39B-4AE09F9E0C1B}"/>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030" xr:uid="{3C53220F-287E-4EEB-8F26-54E9DD3C2E93}"/>
    <cellStyle name="40% - Accent2 2 2 2 3 2 3" xfId="11817" xr:uid="{C2E9F33D-244B-4DF5-8B5E-8DED787AE8BC}"/>
    <cellStyle name="40% - Accent2 2 2 2 3 3" xfId="5390" xr:uid="{00000000-0005-0000-0000-00006C040000}"/>
    <cellStyle name="40% - Accent2 2 2 2 3 3 2" xfId="13885" xr:uid="{C2A40049-A76B-4B47-AD6E-DF3B3D39839D}"/>
    <cellStyle name="40% - Accent2 2 2 2 3 4" xfId="9672" xr:uid="{F8EBD362-80C8-4A40-906F-E328FE5CCA1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443" xr:uid="{CD4086A1-2BDD-4C88-8DC0-E4E82212ABDC}"/>
    <cellStyle name="40% - Accent2 2 2 2 4 2 3" xfId="12230" xr:uid="{B08A3953-F4A0-4449-BEEB-97BA681146B6}"/>
    <cellStyle name="40% - Accent2 2 2 2 4 3" xfId="5803" xr:uid="{00000000-0005-0000-0000-000070040000}"/>
    <cellStyle name="40% - Accent2 2 2 2 4 3 2" xfId="14298" xr:uid="{779438A2-C104-4300-BAD2-8D2DD2B5A7B0}"/>
    <cellStyle name="40% - Accent2 2 2 2 4 4" xfId="10085" xr:uid="{DF705D57-0A75-4301-81C6-9E7A86D70FB6}"/>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56" xr:uid="{5F7BEB82-569B-4448-AE26-78D4460DB058}"/>
    <cellStyle name="40% - Accent2 2 2 2 5 2 3" xfId="12643" xr:uid="{ABB90F7A-55E1-4150-98FC-2FD10DF58913}"/>
    <cellStyle name="40% - Accent2 2 2 2 5 3" xfId="6216" xr:uid="{00000000-0005-0000-0000-000074040000}"/>
    <cellStyle name="40% - Accent2 2 2 2 5 3 2" xfId="14711" xr:uid="{2EB035A3-ED90-49A6-BAA9-FC164020FBFD}"/>
    <cellStyle name="40% - Accent2 2 2 2 5 4" xfId="10498" xr:uid="{68C93A9F-4E3A-4E99-82DE-82837D09E2CD}"/>
    <cellStyle name="40% - Accent2 2 2 2 6" xfId="2323" xr:uid="{00000000-0005-0000-0000-000075040000}"/>
    <cellStyle name="40% - Accent2 2 2 2 6 2" xfId="6629" xr:uid="{00000000-0005-0000-0000-000076040000}"/>
    <cellStyle name="40% - Accent2 2 2 2 6 2 2" xfId="15124" xr:uid="{B35C523C-CD84-4A87-9492-991BC5102D43}"/>
    <cellStyle name="40% - Accent2 2 2 2 6 3" xfId="10911" xr:uid="{F89403B8-04E4-48A1-93D6-51800A7F3168}"/>
    <cellStyle name="40% - Accent2 2 2 2 7" xfId="4563" xr:uid="{00000000-0005-0000-0000-000077040000}"/>
    <cellStyle name="40% - Accent2 2 2 2 7 2" xfId="13059" xr:uid="{A469A6AA-D47C-450B-8E69-55914484C048}"/>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616" xr:uid="{600FD2A3-5F37-4038-918C-7C10CBF37E70}"/>
    <cellStyle name="40% - Accent2 2 2 3 2 3" xfId="11403" xr:uid="{CDAABCC2-97DC-4830-BEB4-9F01B9DECB82}"/>
    <cellStyle name="40% - Accent2 2 2 3 3" xfId="4976" xr:uid="{00000000-0005-0000-0000-00007B040000}"/>
    <cellStyle name="40% - Accent2 2 2 3 3 2" xfId="13471" xr:uid="{651E325C-516F-4037-B9F7-8548EB57870D}"/>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029" xr:uid="{C5365D8E-8318-4928-BD72-62EFB9C54733}"/>
    <cellStyle name="40% - Accent2 2 2 4 2 3" xfId="11816" xr:uid="{53A22B19-F6B7-4403-B799-CAE1CC941331}"/>
    <cellStyle name="40% - Accent2 2 2 4 3" xfId="5389" xr:uid="{00000000-0005-0000-0000-00007F040000}"/>
    <cellStyle name="40% - Accent2 2 2 4 3 2" xfId="13884" xr:uid="{F6F2A88F-82C7-4DEA-A043-21C601C05339}"/>
    <cellStyle name="40% - Accent2 2 2 4 4" xfId="9671" xr:uid="{DA9F2A04-3875-4C40-BBA9-16D914E8A52C}"/>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442" xr:uid="{726E7DAD-C9EA-44EE-AA6D-4F78B9735D6D}"/>
    <cellStyle name="40% - Accent2 2 2 5 2 3" xfId="12229" xr:uid="{5A82DF80-9574-4D11-BEC1-0E1D1B79222E}"/>
    <cellStyle name="40% - Accent2 2 2 5 3" xfId="5802" xr:uid="{00000000-0005-0000-0000-000083040000}"/>
    <cellStyle name="40% - Accent2 2 2 5 3 2" xfId="14297" xr:uid="{A5A0E4BE-4167-4122-B658-1A5EA173F02D}"/>
    <cellStyle name="40% - Accent2 2 2 5 4" xfId="10084" xr:uid="{2CF6A4FE-BE35-48BC-A7E1-E7056C3AF51B}"/>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55" xr:uid="{05B32E30-5A85-4B2B-B9C0-EA42D8F71B7F}"/>
    <cellStyle name="40% - Accent2 2 2 6 2 3" xfId="12642" xr:uid="{60C2E8FD-226A-4FF6-9D68-AD918F7415CC}"/>
    <cellStyle name="40% - Accent2 2 2 6 3" xfId="6215" xr:uid="{00000000-0005-0000-0000-000087040000}"/>
    <cellStyle name="40% - Accent2 2 2 6 3 2" xfId="14710" xr:uid="{2064E2C3-10AE-4E36-8B83-AC9CF1886409}"/>
    <cellStyle name="40% - Accent2 2 2 6 4" xfId="10497" xr:uid="{4A5A21C4-3EAB-4CCF-BB81-F58241C16F3C}"/>
    <cellStyle name="40% - Accent2 2 2 7" xfId="2322" xr:uid="{00000000-0005-0000-0000-000088040000}"/>
    <cellStyle name="40% - Accent2 2 2 7 2" xfId="6628" xr:uid="{00000000-0005-0000-0000-000089040000}"/>
    <cellStyle name="40% - Accent2 2 2 7 2 2" xfId="15123" xr:uid="{CBBE28B9-1225-47ED-95AB-F17D6678D040}"/>
    <cellStyle name="40% - Accent2 2 2 7 3" xfId="10910" xr:uid="{C645BF5D-D444-448C-870F-C0F722574AF0}"/>
    <cellStyle name="40% - Accent2 2 2 8" xfId="4562" xr:uid="{00000000-0005-0000-0000-00008A040000}"/>
    <cellStyle name="40% - Accent2 2 2 8 2" xfId="13058" xr:uid="{AE7AF811-B740-49E0-8E25-22677D38525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618" xr:uid="{CE370DD6-2430-454B-8C19-7A0EBB9E40C1}"/>
    <cellStyle name="40% - Accent2 2 3 2 2 3" xfId="11405" xr:uid="{B63742F1-769A-4757-98A5-B33CF5E63B9D}"/>
    <cellStyle name="40% - Accent2 2 3 2 3" xfId="4978" xr:uid="{00000000-0005-0000-0000-00008F040000}"/>
    <cellStyle name="40% - Accent2 2 3 2 3 2" xfId="13473" xr:uid="{0C079669-377E-4403-8F51-ACF3F94E4652}"/>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031" xr:uid="{4D872F8B-9322-4A41-AF9E-8BC777408AD9}"/>
    <cellStyle name="40% - Accent2 2 3 3 2 3" xfId="11818" xr:uid="{A1D241A9-8F60-4E9C-AA97-50EF6E0BE544}"/>
    <cellStyle name="40% - Accent2 2 3 3 3" xfId="5391" xr:uid="{00000000-0005-0000-0000-000093040000}"/>
    <cellStyle name="40% - Accent2 2 3 3 3 2" xfId="13886" xr:uid="{7C0A7434-5B09-4CE8-AC28-81F7DFE39198}"/>
    <cellStyle name="40% - Accent2 2 3 3 4" xfId="9673" xr:uid="{426D4A86-C4D8-438F-BB37-CCA0FE6937D3}"/>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444" xr:uid="{6C4DACD6-8C64-4D22-863D-A180F25E2727}"/>
    <cellStyle name="40% - Accent2 2 3 4 2 3" xfId="12231" xr:uid="{23CB1EEE-9D42-42DB-84DB-BEE389F7BF5F}"/>
    <cellStyle name="40% - Accent2 2 3 4 3" xfId="5804" xr:uid="{00000000-0005-0000-0000-000097040000}"/>
    <cellStyle name="40% - Accent2 2 3 4 3 2" xfId="14299" xr:uid="{370E499A-43E4-4991-B7A0-18166E122151}"/>
    <cellStyle name="40% - Accent2 2 3 4 4" xfId="10086" xr:uid="{7D815DC4-B963-4A60-A520-89BA407476D7}"/>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57" xr:uid="{832E7DCA-5FEA-4218-B1F3-139E9348B5F4}"/>
    <cellStyle name="40% - Accent2 2 3 5 2 3" xfId="12644" xr:uid="{90DBDDF0-E1AB-4489-9298-44B0793E79C6}"/>
    <cellStyle name="40% - Accent2 2 3 5 3" xfId="6217" xr:uid="{00000000-0005-0000-0000-00009B040000}"/>
    <cellStyle name="40% - Accent2 2 3 5 3 2" xfId="14712" xr:uid="{1D426120-7B60-41A4-8465-271CF33CFC33}"/>
    <cellStyle name="40% - Accent2 2 3 5 4" xfId="10499" xr:uid="{9D38EEC7-F707-4EF3-A3DA-B22E85BCCB68}"/>
    <cellStyle name="40% - Accent2 2 3 6" xfId="2324" xr:uid="{00000000-0005-0000-0000-00009C040000}"/>
    <cellStyle name="40% - Accent2 2 3 6 2" xfId="6630" xr:uid="{00000000-0005-0000-0000-00009D040000}"/>
    <cellStyle name="40% - Accent2 2 3 6 2 2" xfId="15125" xr:uid="{F30C19CB-CFDB-4174-9D56-12E712BB5533}"/>
    <cellStyle name="40% - Accent2 2 3 6 3" xfId="10912" xr:uid="{9DBBA9EB-B195-4395-B8F7-FA716F5D2F7D}"/>
    <cellStyle name="40% - Accent2 2 3 7" xfId="4564" xr:uid="{00000000-0005-0000-0000-00009E040000}"/>
    <cellStyle name="40% - Accent2 2 3 7 2" xfId="13060" xr:uid="{B3E7ACD3-CCAE-4F49-B567-B8A30C79D1D1}"/>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2 2 2" xfId="15615" xr:uid="{745A7A65-6198-4AC7-A01C-C420B420873E}"/>
    <cellStyle name="40% - Accent2 2 4 2 3" xfId="11402" xr:uid="{F24CE7E1-E9AB-4C83-A1ED-9B7AE8BEF305}"/>
    <cellStyle name="40% - Accent2 2 4 3" xfId="4975" xr:uid="{00000000-0005-0000-0000-0000A2040000}"/>
    <cellStyle name="40% - Accent2 2 4 3 2" xfId="13470" xr:uid="{B6AE3AD5-5FFA-494B-981F-D88BF2BC2CC6}"/>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028" xr:uid="{C15A3129-F73A-4D3D-9A05-5A3EFA4448B9}"/>
    <cellStyle name="40% - Accent2 2 5 2 3" xfId="11815" xr:uid="{A097ED68-6115-4885-B6BB-860FE6D946E2}"/>
    <cellStyle name="40% - Accent2 2 5 3" xfId="5388" xr:uid="{00000000-0005-0000-0000-0000A6040000}"/>
    <cellStyle name="40% - Accent2 2 5 3 2" xfId="13883" xr:uid="{E4ADF1FC-E013-4121-8252-81BFF248D9C9}"/>
    <cellStyle name="40% - Accent2 2 5 4" xfId="9670" xr:uid="{36A9D75C-20DD-4422-A7E1-4B0F4EC14B13}"/>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441" xr:uid="{AF7F2822-A236-45CD-96AF-088D6E43AE25}"/>
    <cellStyle name="40% - Accent2 2 6 2 3" xfId="12228" xr:uid="{CF8AE44B-259E-4326-BD3F-DE64FEC55E3A}"/>
    <cellStyle name="40% - Accent2 2 6 3" xfId="5801" xr:uid="{00000000-0005-0000-0000-0000AA040000}"/>
    <cellStyle name="40% - Accent2 2 6 3 2" xfId="14296" xr:uid="{C1B4700B-9CBF-44E5-BEDF-162528E908D6}"/>
    <cellStyle name="40% - Accent2 2 6 4" xfId="10083" xr:uid="{B3414EC1-9324-48B5-81DE-8D1C6C8267A3}"/>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54" xr:uid="{EDF9DFDC-0910-4D7A-B23B-C8BEDE85D938}"/>
    <cellStyle name="40% - Accent2 2 7 2 3" xfId="12641" xr:uid="{69ADEF40-EC63-4D20-9304-75CD01E2A023}"/>
    <cellStyle name="40% - Accent2 2 7 3" xfId="6214" xr:uid="{00000000-0005-0000-0000-0000AE040000}"/>
    <cellStyle name="40% - Accent2 2 7 3 2" xfId="14709" xr:uid="{BA09C3D1-5D4B-498A-83E9-550221C9409A}"/>
    <cellStyle name="40% - Accent2 2 7 4" xfId="10496" xr:uid="{EB6510DB-FC3A-40A3-8675-6A4054755839}"/>
    <cellStyle name="40% - Accent2 2 8" xfId="2321" xr:uid="{00000000-0005-0000-0000-0000AF040000}"/>
    <cellStyle name="40% - Accent2 2 8 2" xfId="6627" xr:uid="{00000000-0005-0000-0000-0000B0040000}"/>
    <cellStyle name="40% - Accent2 2 8 2 2" xfId="15122" xr:uid="{4B4EFACC-1180-4CC0-B125-81CE9EE42329}"/>
    <cellStyle name="40% - Accent2 2 8 3" xfId="10909" xr:uid="{3CD7CA54-4EAB-4961-892C-B9F2C62193B5}"/>
    <cellStyle name="40% - Accent2 2 9" xfId="4561" xr:uid="{00000000-0005-0000-0000-0000B1040000}"/>
    <cellStyle name="40% - Accent2 2 9 2" xfId="13057" xr:uid="{92232E67-05CB-45D8-97E9-8864806F31D2}"/>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620" xr:uid="{4A8785DB-A58C-4652-A691-054B60D3D543}"/>
    <cellStyle name="40% - Accent2 3 2 2 2 3" xfId="11407" xr:uid="{E76C1E58-95A4-468B-928D-D835EE584A48}"/>
    <cellStyle name="40% - Accent2 3 2 2 3" xfId="4980" xr:uid="{00000000-0005-0000-0000-0000B7040000}"/>
    <cellStyle name="40% - Accent2 3 2 2 3 2" xfId="13475" xr:uid="{B3AFA37C-FECD-40CE-9DD7-8814503CBF2F}"/>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033" xr:uid="{755C37FA-763B-486C-871F-9E625F412355}"/>
    <cellStyle name="40% - Accent2 3 2 3 2 3" xfId="11820" xr:uid="{33C1E8C7-152E-47C3-84CF-EDDCCAAE599C}"/>
    <cellStyle name="40% - Accent2 3 2 3 3" xfId="5393" xr:uid="{00000000-0005-0000-0000-0000BB040000}"/>
    <cellStyle name="40% - Accent2 3 2 3 3 2" xfId="13888" xr:uid="{C70A5AFF-E38B-41AB-A90F-75A2AACCDB38}"/>
    <cellStyle name="40% - Accent2 3 2 3 4" xfId="9675" xr:uid="{B6F55048-EFC4-437E-B9F1-A321B45B5F05}"/>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46" xr:uid="{829488DA-8D41-4793-AC80-DB12AF4B822F}"/>
    <cellStyle name="40% - Accent2 3 2 4 2 3" xfId="12233" xr:uid="{4E83D3EB-7167-4B66-8EEE-FF2D25280A1B}"/>
    <cellStyle name="40% - Accent2 3 2 4 3" xfId="5806" xr:uid="{00000000-0005-0000-0000-0000BF040000}"/>
    <cellStyle name="40% - Accent2 3 2 4 3 2" xfId="14301" xr:uid="{69771678-3642-4E9B-8DF4-F1AE0EECD09B}"/>
    <cellStyle name="40% - Accent2 3 2 4 4" xfId="10088" xr:uid="{AADC1B8D-5390-474B-B969-7C1CF582648D}"/>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59" xr:uid="{0A231AC3-CE7E-4720-B995-035CF0DCF6D8}"/>
    <cellStyle name="40% - Accent2 3 2 5 2 3" xfId="12646" xr:uid="{854753AA-1C6E-4652-BB26-A98F91571746}"/>
    <cellStyle name="40% - Accent2 3 2 5 3" xfId="6219" xr:uid="{00000000-0005-0000-0000-0000C3040000}"/>
    <cellStyle name="40% - Accent2 3 2 5 3 2" xfId="14714" xr:uid="{D5E50E2F-C727-4C51-8203-AE01AB5821C3}"/>
    <cellStyle name="40% - Accent2 3 2 5 4" xfId="10501" xr:uid="{0C5C4313-F244-4EB1-B86C-957D3E03EB77}"/>
    <cellStyle name="40% - Accent2 3 2 6" xfId="2326" xr:uid="{00000000-0005-0000-0000-0000C4040000}"/>
    <cellStyle name="40% - Accent2 3 2 6 2" xfId="6632" xr:uid="{00000000-0005-0000-0000-0000C5040000}"/>
    <cellStyle name="40% - Accent2 3 2 6 2 2" xfId="15127" xr:uid="{FF7A0E63-636C-4A3B-8D99-C68C31E81913}"/>
    <cellStyle name="40% - Accent2 3 2 6 3" xfId="10914" xr:uid="{30110CEE-3D1B-45E4-BE6F-2E0A52C78091}"/>
    <cellStyle name="40% - Accent2 3 2 7" xfId="4566" xr:uid="{00000000-0005-0000-0000-0000C6040000}"/>
    <cellStyle name="40% - Accent2 3 2 7 2" xfId="13062" xr:uid="{88C8BFBD-4ED6-4B42-B0D3-49BD5CD9DF5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2 2 2" xfId="15619" xr:uid="{CC3B7A0F-C2A1-42C1-B928-B47D33D6B600}"/>
    <cellStyle name="40% - Accent2 3 3 2 3" xfId="11406" xr:uid="{084BEABD-A8D8-44AD-A457-C84DB3D98BBC}"/>
    <cellStyle name="40% - Accent2 3 3 3" xfId="4979" xr:uid="{00000000-0005-0000-0000-0000CA040000}"/>
    <cellStyle name="40% - Accent2 3 3 3 2" xfId="13474" xr:uid="{7B7F64AB-C841-411E-8FEF-DA1D00E0E02D}"/>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032" xr:uid="{3BEA4D7A-26D8-45E8-BC83-1CCB529CEB73}"/>
    <cellStyle name="40% - Accent2 3 4 2 3" xfId="11819" xr:uid="{81F67AD8-3337-4AF3-967C-4FE1747DC192}"/>
    <cellStyle name="40% - Accent2 3 4 3" xfId="5392" xr:uid="{00000000-0005-0000-0000-0000CE040000}"/>
    <cellStyle name="40% - Accent2 3 4 3 2" xfId="13887" xr:uid="{212B12D6-E98A-492E-BA29-FF6CFFCDED10}"/>
    <cellStyle name="40% - Accent2 3 4 4" xfId="9674" xr:uid="{182309E1-91A6-4E88-BDFA-19FBA7DE9C5D}"/>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45" xr:uid="{6C52BA89-0AD6-4C32-A188-A19AA4FA0B23}"/>
    <cellStyle name="40% - Accent2 3 5 2 3" xfId="12232" xr:uid="{B4400967-24CB-451B-9EC2-280B2BB6B504}"/>
    <cellStyle name="40% - Accent2 3 5 3" xfId="5805" xr:uid="{00000000-0005-0000-0000-0000D2040000}"/>
    <cellStyle name="40% - Accent2 3 5 3 2" xfId="14300" xr:uid="{B94B6574-AE21-4BB1-95CC-E1DBCC874171}"/>
    <cellStyle name="40% - Accent2 3 5 4" xfId="10087" xr:uid="{EDA94BF6-7928-4E7B-9906-E8CA03490D11}"/>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58" xr:uid="{9348FCA5-26B2-4B8E-B7DF-15809C9F7FF9}"/>
    <cellStyle name="40% - Accent2 3 6 2 3" xfId="12645" xr:uid="{3C9F15E7-DD6E-49BB-A56F-2DAD3A98E52C}"/>
    <cellStyle name="40% - Accent2 3 6 3" xfId="6218" xr:uid="{00000000-0005-0000-0000-0000D6040000}"/>
    <cellStyle name="40% - Accent2 3 6 3 2" xfId="14713" xr:uid="{427CF60F-3884-41B4-9CDD-80A43BDB68EC}"/>
    <cellStyle name="40% - Accent2 3 6 4" xfId="10500" xr:uid="{257914E8-54B2-4A3B-A74B-C53C84A7B816}"/>
    <cellStyle name="40% - Accent2 3 7" xfId="2325" xr:uid="{00000000-0005-0000-0000-0000D7040000}"/>
    <cellStyle name="40% - Accent2 3 7 2" xfId="6631" xr:uid="{00000000-0005-0000-0000-0000D8040000}"/>
    <cellStyle name="40% - Accent2 3 7 2 2" xfId="15126" xr:uid="{A4AFA8A8-8C0E-488F-9057-45DF376213EA}"/>
    <cellStyle name="40% - Accent2 3 7 3" xfId="10913" xr:uid="{0DCFA145-0855-4865-B0DB-A640DC06DEFC}"/>
    <cellStyle name="40% - Accent2 3 8" xfId="4565" xr:uid="{00000000-0005-0000-0000-0000D9040000}"/>
    <cellStyle name="40% - Accent2 3 8 2" xfId="13061" xr:uid="{2AA3846C-B3B9-41BA-9A33-92E1131B909D}"/>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621" xr:uid="{2E857E2E-3C63-4C05-8F4A-60DDD1605944}"/>
    <cellStyle name="40% - Accent2 4 2 2 3" xfId="11408" xr:uid="{DC818FF9-A628-46A0-800F-9B5290B859CE}"/>
    <cellStyle name="40% - Accent2 4 2 3" xfId="4981" xr:uid="{00000000-0005-0000-0000-0000DE040000}"/>
    <cellStyle name="40% - Accent2 4 2 3 2" xfId="13476" xr:uid="{D9ED3021-D602-4F1C-9F0E-CFCD3255B377}"/>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034" xr:uid="{8CA298B9-67DB-4EB4-A4A0-EA66F07DA708}"/>
    <cellStyle name="40% - Accent2 4 3 2 3" xfId="11821" xr:uid="{BCC6F1B4-8AD7-49B8-ACB4-0C29437B47B0}"/>
    <cellStyle name="40% - Accent2 4 3 3" xfId="5394" xr:uid="{00000000-0005-0000-0000-0000E2040000}"/>
    <cellStyle name="40% - Accent2 4 3 3 2" xfId="13889" xr:uid="{5C7462B0-DB03-46EB-A309-3DE77E108F93}"/>
    <cellStyle name="40% - Accent2 4 3 4" xfId="9676" xr:uid="{4D0B14B4-AEB5-4DD5-AB61-BC14FC41C22E}"/>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47" xr:uid="{2981A466-18E3-44AC-97EE-243D1884B2BD}"/>
    <cellStyle name="40% - Accent2 4 4 2 3" xfId="12234" xr:uid="{30DA469F-D5B6-4E1A-90C0-07643FE53C99}"/>
    <cellStyle name="40% - Accent2 4 4 3" xfId="5807" xr:uid="{00000000-0005-0000-0000-0000E6040000}"/>
    <cellStyle name="40% - Accent2 4 4 3 2" xfId="14302" xr:uid="{A45075C5-65FA-4859-BA17-6FAF06E51674}"/>
    <cellStyle name="40% - Accent2 4 4 4" xfId="10089" xr:uid="{DD640395-63E2-499E-B907-4C16E412651D}"/>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60" xr:uid="{7B8669E9-243D-4F18-ABC3-D922E6F4FFA9}"/>
    <cellStyle name="40% - Accent2 4 5 2 3" xfId="12647" xr:uid="{30131BDC-6279-4768-A1D8-4DF2D4E1E41C}"/>
    <cellStyle name="40% - Accent2 4 5 3" xfId="6220" xr:uid="{00000000-0005-0000-0000-0000EA040000}"/>
    <cellStyle name="40% - Accent2 4 5 3 2" xfId="14715" xr:uid="{CC7478DE-4AEE-4097-9E3A-1963D08C7614}"/>
    <cellStyle name="40% - Accent2 4 5 4" xfId="10502" xr:uid="{DD2F2F6F-2DF8-4A50-A26F-062081ADD79D}"/>
    <cellStyle name="40% - Accent2 4 6" xfId="2327" xr:uid="{00000000-0005-0000-0000-0000EB040000}"/>
    <cellStyle name="40% - Accent2 4 6 2" xfId="6633" xr:uid="{00000000-0005-0000-0000-0000EC040000}"/>
    <cellStyle name="40% - Accent2 4 6 2 2" xfId="15128" xr:uid="{7140CFD9-8126-4FA6-A409-2467DB5E041A}"/>
    <cellStyle name="40% - Accent2 4 6 3" xfId="10915" xr:uid="{E6F827D6-BF95-4FBF-BFA6-6B47F98CE226}"/>
    <cellStyle name="40% - Accent2 4 7" xfId="4567" xr:uid="{00000000-0005-0000-0000-0000ED040000}"/>
    <cellStyle name="40% - Accent2 4 7 2" xfId="13063" xr:uid="{4B3C9CCC-8276-4C47-BC35-8E37564E8E02}"/>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2 2 2" xfId="15614" xr:uid="{DADDF232-7B37-435C-885C-26F86A1EEC3C}"/>
    <cellStyle name="40% - Accent2 5 2 3" xfId="11401" xr:uid="{49E2BA3E-E826-4D63-9728-A3A8181C3C4D}"/>
    <cellStyle name="40% - Accent2 5 3" xfId="4974" xr:uid="{00000000-0005-0000-0000-0000F1040000}"/>
    <cellStyle name="40% - Accent2 5 3 2" xfId="13469" xr:uid="{A3B6D63A-61C9-4BEC-AF20-FF0F18039839}"/>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2 2 2" xfId="16027" xr:uid="{379E319C-28D0-4400-9705-A9A20F65562B}"/>
    <cellStyle name="40% - Accent2 6 2 3" xfId="11814" xr:uid="{1C7C7225-C04D-4515-B48E-C6DB19BC335C}"/>
    <cellStyle name="40% - Accent2 6 3" xfId="5387" xr:uid="{00000000-0005-0000-0000-0000F5040000}"/>
    <cellStyle name="40% - Accent2 6 3 2" xfId="13882" xr:uid="{DA8CF30A-0C74-4F92-A114-E731FE9DE742}"/>
    <cellStyle name="40% - Accent2 6 4" xfId="9669" xr:uid="{AE5A1026-2F95-42C1-A999-A360D8680A78}"/>
    <cellStyle name="40% - Accent2 7" xfId="1493" xr:uid="{00000000-0005-0000-0000-0000F6040000}"/>
    <cellStyle name="40% - Accent2 7 2" xfId="3723" xr:uid="{00000000-0005-0000-0000-0000F7040000}"/>
    <cellStyle name="40% - Accent2 7 2 2" xfId="7945" xr:uid="{00000000-0005-0000-0000-0000F8040000}"/>
    <cellStyle name="40% - Accent2 7 2 2 2" xfId="16440" xr:uid="{62E0BD93-7362-49AD-AB97-C521D1C88FA6}"/>
    <cellStyle name="40% - Accent2 7 2 3" xfId="12227" xr:uid="{9A9A83B2-DC70-45A6-A60E-4F632DFD5DBC}"/>
    <cellStyle name="40% - Accent2 7 3" xfId="5800" xr:uid="{00000000-0005-0000-0000-0000F9040000}"/>
    <cellStyle name="40% - Accent2 7 3 2" xfId="14295" xr:uid="{734CB344-8440-4008-9D69-0CBC1B696D5A}"/>
    <cellStyle name="40% - Accent2 7 4" xfId="10082" xr:uid="{73DEEE3C-CD21-403C-95C9-258396B37688}"/>
    <cellStyle name="40% - Accent2 8" xfId="1907" xr:uid="{00000000-0005-0000-0000-0000FA040000}"/>
    <cellStyle name="40% - Accent2 8 2" xfId="4136" xr:uid="{00000000-0005-0000-0000-0000FB040000}"/>
    <cellStyle name="40% - Accent2 8 2 2" xfId="8358" xr:uid="{00000000-0005-0000-0000-0000FC040000}"/>
    <cellStyle name="40% - Accent2 8 2 2 2" xfId="16853" xr:uid="{C793AEBC-FD78-4821-B477-0FEB168F95B5}"/>
    <cellStyle name="40% - Accent2 8 2 3" xfId="12640" xr:uid="{1264983C-0A5A-45E7-958E-59890341D089}"/>
    <cellStyle name="40% - Accent2 8 3" xfId="6213" xr:uid="{00000000-0005-0000-0000-0000FD040000}"/>
    <cellStyle name="40% - Accent2 8 3 2" xfId="14708" xr:uid="{452317A5-C97A-4E1A-AF0B-4BFB4EFD5413}"/>
    <cellStyle name="40% - Accent2 8 4" xfId="10495" xr:uid="{A1795F2E-FD64-4DC5-8967-DCD86720C9E8}"/>
    <cellStyle name="40% - Accent2 9" xfId="2320" xr:uid="{00000000-0005-0000-0000-0000FE040000}"/>
    <cellStyle name="40% - Accent2 9 2" xfId="6626" xr:uid="{00000000-0005-0000-0000-0000FF040000}"/>
    <cellStyle name="40% - Accent2 9 2 2" xfId="15121" xr:uid="{266D22DE-92D4-4372-ACED-04CFB9A757F5}"/>
    <cellStyle name="40% - Accent2 9 3" xfId="10908" xr:uid="{53F92A76-3D9D-4981-963B-7AF6B1174452}"/>
    <cellStyle name="40% - Accent3" xfId="65" builtinId="39" customBuiltin="1"/>
    <cellStyle name="40% - Accent3 10" xfId="4568" xr:uid="{00000000-0005-0000-0000-000001050000}"/>
    <cellStyle name="40% - Accent3 10 2" xfId="13064" xr:uid="{FFE15D97-EA27-4C62-9DC8-8DC2046957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625" xr:uid="{5586D952-DCD5-45DF-83B3-3E7D55C8D7DD}"/>
    <cellStyle name="40% - Accent3 2 2 2 2 2 3" xfId="11412" xr:uid="{6201F93D-93BE-4351-9FE0-C7FE510FFB4C}"/>
    <cellStyle name="40% - Accent3 2 2 2 2 3" xfId="4985" xr:uid="{00000000-0005-0000-0000-000008050000}"/>
    <cellStyle name="40% - Accent3 2 2 2 2 3 2" xfId="13480" xr:uid="{39CCA3D1-3E81-4795-B7FA-D076BBFE4CA6}"/>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038" xr:uid="{8DDBB275-7BC2-4E56-8CDF-4123A8C1339B}"/>
    <cellStyle name="40% - Accent3 2 2 2 3 2 3" xfId="11825" xr:uid="{B8D5A194-A348-4D1D-ACC2-6633A5BCF242}"/>
    <cellStyle name="40% - Accent3 2 2 2 3 3" xfId="5398" xr:uid="{00000000-0005-0000-0000-00000C050000}"/>
    <cellStyle name="40% - Accent3 2 2 2 3 3 2" xfId="13893" xr:uid="{D843FC60-E375-4922-B9E9-50C12E006D77}"/>
    <cellStyle name="40% - Accent3 2 2 2 3 4" xfId="9680" xr:uid="{8FB7807A-7E7E-4BBC-947C-BAFABA924D3E}"/>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51" xr:uid="{1AD466C6-571B-476D-AA58-130537C257BC}"/>
    <cellStyle name="40% - Accent3 2 2 2 4 2 3" xfId="12238" xr:uid="{F7E8107B-3473-43AD-A47A-D1545981BABF}"/>
    <cellStyle name="40% - Accent3 2 2 2 4 3" xfId="5811" xr:uid="{00000000-0005-0000-0000-000010050000}"/>
    <cellStyle name="40% - Accent3 2 2 2 4 3 2" xfId="14306" xr:uid="{A6788290-7A3B-4E60-9F6B-A1359EF9FB21}"/>
    <cellStyle name="40% - Accent3 2 2 2 4 4" xfId="10093" xr:uid="{D8AC7D46-B5B5-4ED6-904E-A8962B0A361C}"/>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64" xr:uid="{3202C0F4-A36F-474C-98EB-2078173D1D16}"/>
    <cellStyle name="40% - Accent3 2 2 2 5 2 3" xfId="12651" xr:uid="{DB7E57D2-50F8-401C-9635-D1D7BBB999A9}"/>
    <cellStyle name="40% - Accent3 2 2 2 5 3" xfId="6224" xr:uid="{00000000-0005-0000-0000-000014050000}"/>
    <cellStyle name="40% - Accent3 2 2 2 5 3 2" xfId="14719" xr:uid="{747ACF0E-D0FB-4FCC-85D6-428515536175}"/>
    <cellStyle name="40% - Accent3 2 2 2 5 4" xfId="10506" xr:uid="{90C55C5A-4BB2-4E24-B1B0-4B95EFFECFA1}"/>
    <cellStyle name="40% - Accent3 2 2 2 6" xfId="2331" xr:uid="{00000000-0005-0000-0000-000015050000}"/>
    <cellStyle name="40% - Accent3 2 2 2 6 2" xfId="6637" xr:uid="{00000000-0005-0000-0000-000016050000}"/>
    <cellStyle name="40% - Accent3 2 2 2 6 2 2" xfId="15132" xr:uid="{F4C10E60-7864-42C8-A110-B4CB38FC1BC0}"/>
    <cellStyle name="40% - Accent3 2 2 2 6 3" xfId="10919" xr:uid="{514D5DFD-BED0-4508-BB03-AF029AFC35F7}"/>
    <cellStyle name="40% - Accent3 2 2 2 7" xfId="4571" xr:uid="{00000000-0005-0000-0000-000017050000}"/>
    <cellStyle name="40% - Accent3 2 2 2 7 2" xfId="13067" xr:uid="{A8611302-4A98-41F7-A943-0DCF72832253}"/>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624" xr:uid="{8F042516-2766-485B-883E-4FBC4C158736}"/>
    <cellStyle name="40% - Accent3 2 2 3 2 3" xfId="11411" xr:uid="{3DD91699-23B9-4ECD-A033-E2EF3EE33D20}"/>
    <cellStyle name="40% - Accent3 2 2 3 3" xfId="4984" xr:uid="{00000000-0005-0000-0000-00001B050000}"/>
    <cellStyle name="40% - Accent3 2 2 3 3 2" xfId="13479" xr:uid="{CA9D5F52-8B38-4313-A88A-F51291F8073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037" xr:uid="{C2497F07-6E58-4BE5-BC8B-A5EF31693C97}"/>
    <cellStyle name="40% - Accent3 2 2 4 2 3" xfId="11824" xr:uid="{C974B719-F9F0-4EED-8AF1-5FAE87C9294D}"/>
    <cellStyle name="40% - Accent3 2 2 4 3" xfId="5397" xr:uid="{00000000-0005-0000-0000-00001F050000}"/>
    <cellStyle name="40% - Accent3 2 2 4 3 2" xfId="13892" xr:uid="{1896DF27-CA7D-488A-8CE6-2A556329D519}"/>
    <cellStyle name="40% - Accent3 2 2 4 4" xfId="9679" xr:uid="{2F5A6C5A-EFE1-45E4-A87C-62D5CFDE7489}"/>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50" xr:uid="{6BAE59D2-89B8-4E57-BE03-3927E171D2E0}"/>
    <cellStyle name="40% - Accent3 2 2 5 2 3" xfId="12237" xr:uid="{F04CC352-D3DF-45FC-9CE0-A9D6AE2FB096}"/>
    <cellStyle name="40% - Accent3 2 2 5 3" xfId="5810" xr:uid="{00000000-0005-0000-0000-000023050000}"/>
    <cellStyle name="40% - Accent3 2 2 5 3 2" xfId="14305" xr:uid="{DE2B387B-C7EC-4020-BAB1-4EC04E25D65A}"/>
    <cellStyle name="40% - Accent3 2 2 5 4" xfId="10092" xr:uid="{1F06C601-9F35-460A-94ED-58F5C0EC69BD}"/>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63" xr:uid="{58278579-5B7C-4285-9BAD-F63083376FB9}"/>
    <cellStyle name="40% - Accent3 2 2 6 2 3" xfId="12650" xr:uid="{D4E73B31-1130-4363-B5CB-A4E7AE204CF0}"/>
    <cellStyle name="40% - Accent3 2 2 6 3" xfId="6223" xr:uid="{00000000-0005-0000-0000-000027050000}"/>
    <cellStyle name="40% - Accent3 2 2 6 3 2" xfId="14718" xr:uid="{3B1772D8-6BD5-40A7-84EC-62D571E22F84}"/>
    <cellStyle name="40% - Accent3 2 2 6 4" xfId="10505" xr:uid="{FB4D2C69-7F42-4C52-B4DC-33BF488A451B}"/>
    <cellStyle name="40% - Accent3 2 2 7" xfId="2330" xr:uid="{00000000-0005-0000-0000-000028050000}"/>
    <cellStyle name="40% - Accent3 2 2 7 2" xfId="6636" xr:uid="{00000000-0005-0000-0000-000029050000}"/>
    <cellStyle name="40% - Accent3 2 2 7 2 2" xfId="15131" xr:uid="{C12FCA0A-8C47-4380-A52F-A475D8BC331E}"/>
    <cellStyle name="40% - Accent3 2 2 7 3" xfId="10918" xr:uid="{D8F4D61E-52CA-4F22-921C-1BD8B484C365}"/>
    <cellStyle name="40% - Accent3 2 2 8" xfId="4570" xr:uid="{00000000-0005-0000-0000-00002A050000}"/>
    <cellStyle name="40% - Accent3 2 2 8 2" xfId="13066" xr:uid="{E1F6258D-33B5-48BF-97C8-2D9BC9E8D31F}"/>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626" xr:uid="{5B3D11A0-7D21-43D1-95AE-C7578AD16DC9}"/>
    <cellStyle name="40% - Accent3 2 3 2 2 3" xfId="11413" xr:uid="{EA05582C-2398-4C14-9A32-9690F64385B6}"/>
    <cellStyle name="40% - Accent3 2 3 2 3" xfId="4986" xr:uid="{00000000-0005-0000-0000-00002F050000}"/>
    <cellStyle name="40% - Accent3 2 3 2 3 2" xfId="13481" xr:uid="{27A20A6F-17E7-4216-83C7-BA952A4F67F1}"/>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039" xr:uid="{4E85EDDE-6595-434E-82DA-F399D2C1E846}"/>
    <cellStyle name="40% - Accent3 2 3 3 2 3" xfId="11826" xr:uid="{AB130819-64A6-43A5-84B4-4A73ABABD83E}"/>
    <cellStyle name="40% - Accent3 2 3 3 3" xfId="5399" xr:uid="{00000000-0005-0000-0000-000033050000}"/>
    <cellStyle name="40% - Accent3 2 3 3 3 2" xfId="13894" xr:uid="{A59C53BA-CFCD-4E4E-82A5-289808514C19}"/>
    <cellStyle name="40% - Accent3 2 3 3 4" xfId="9681" xr:uid="{8B4A04EF-B21C-4945-8C8D-2F3AF4CCF739}"/>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52" xr:uid="{19937B46-D4FA-41EC-B71F-C106D3F05D7A}"/>
    <cellStyle name="40% - Accent3 2 3 4 2 3" xfId="12239" xr:uid="{70A0A55E-65CF-43C2-8AAE-76A5FF75711E}"/>
    <cellStyle name="40% - Accent3 2 3 4 3" xfId="5812" xr:uid="{00000000-0005-0000-0000-000037050000}"/>
    <cellStyle name="40% - Accent3 2 3 4 3 2" xfId="14307" xr:uid="{8A75F07E-6B84-4972-AFDD-1418A7836DF8}"/>
    <cellStyle name="40% - Accent3 2 3 4 4" xfId="10094" xr:uid="{7099A188-B8D2-4523-85E5-368B27DD70EC}"/>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65" xr:uid="{E82158FC-A8A9-42CA-AD45-343C6AAE8184}"/>
    <cellStyle name="40% - Accent3 2 3 5 2 3" xfId="12652" xr:uid="{5A7385C5-8F2B-41BB-B36A-253DBB8DD9B1}"/>
    <cellStyle name="40% - Accent3 2 3 5 3" xfId="6225" xr:uid="{00000000-0005-0000-0000-00003B050000}"/>
    <cellStyle name="40% - Accent3 2 3 5 3 2" xfId="14720" xr:uid="{D8CEB32C-FD7C-4587-B7DA-F332783F2B26}"/>
    <cellStyle name="40% - Accent3 2 3 5 4" xfId="10507" xr:uid="{52A5F3F0-0724-4733-A081-896B3FB29871}"/>
    <cellStyle name="40% - Accent3 2 3 6" xfId="2332" xr:uid="{00000000-0005-0000-0000-00003C050000}"/>
    <cellStyle name="40% - Accent3 2 3 6 2" xfId="6638" xr:uid="{00000000-0005-0000-0000-00003D050000}"/>
    <cellStyle name="40% - Accent3 2 3 6 2 2" xfId="15133" xr:uid="{056B7F41-8894-4047-9B7E-FB20564BCCD1}"/>
    <cellStyle name="40% - Accent3 2 3 6 3" xfId="10920" xr:uid="{97EB66AD-1C86-41E7-A7F4-102A96B7333B}"/>
    <cellStyle name="40% - Accent3 2 3 7" xfId="4572" xr:uid="{00000000-0005-0000-0000-00003E050000}"/>
    <cellStyle name="40% - Accent3 2 3 7 2" xfId="13068" xr:uid="{DB0688F2-0E72-4004-BB8A-9FCB29CDE6AC}"/>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2 2 2" xfId="15623" xr:uid="{B6B38559-5363-44CE-A145-15E50C95BFBC}"/>
    <cellStyle name="40% - Accent3 2 4 2 3" xfId="11410" xr:uid="{21B5FF16-4B97-443B-9311-4023A8A6BCB7}"/>
    <cellStyle name="40% - Accent3 2 4 3" xfId="4983" xr:uid="{00000000-0005-0000-0000-000042050000}"/>
    <cellStyle name="40% - Accent3 2 4 3 2" xfId="13478" xr:uid="{DECB3044-CFB2-4CA8-8ACA-3AE59730010C}"/>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036" xr:uid="{9C3E73A6-EABC-4F20-B45D-2D6B092679DF}"/>
    <cellStyle name="40% - Accent3 2 5 2 3" xfId="11823" xr:uid="{AEBB085C-1FC0-44EF-A968-D0051122CF3C}"/>
    <cellStyle name="40% - Accent3 2 5 3" xfId="5396" xr:uid="{00000000-0005-0000-0000-000046050000}"/>
    <cellStyle name="40% - Accent3 2 5 3 2" xfId="13891" xr:uid="{E96B1003-8C96-4380-9697-0B2ACF314C7F}"/>
    <cellStyle name="40% - Accent3 2 5 4" xfId="9678" xr:uid="{8426A981-B7B0-45A1-BE9A-980C9F1DC77F}"/>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49" xr:uid="{7B7B63D2-5D87-4889-B54A-46E15984E3BB}"/>
    <cellStyle name="40% - Accent3 2 6 2 3" xfId="12236" xr:uid="{F12B4B8F-C3FB-4EE5-A023-3C776403D358}"/>
    <cellStyle name="40% - Accent3 2 6 3" xfId="5809" xr:uid="{00000000-0005-0000-0000-00004A050000}"/>
    <cellStyle name="40% - Accent3 2 6 3 2" xfId="14304" xr:uid="{D643CB0F-39CA-408F-BDBA-8541C68BF61A}"/>
    <cellStyle name="40% - Accent3 2 6 4" xfId="10091" xr:uid="{EF7B8FC8-6647-4A20-8FF1-3DDFA5B9F01D}"/>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62" xr:uid="{DDDB9EC1-5C0C-4B4E-BF9D-41E60943C971}"/>
    <cellStyle name="40% - Accent3 2 7 2 3" xfId="12649" xr:uid="{FCBFB1AD-FC51-4DB8-9BF9-7D5AF9BD50A0}"/>
    <cellStyle name="40% - Accent3 2 7 3" xfId="6222" xr:uid="{00000000-0005-0000-0000-00004E050000}"/>
    <cellStyle name="40% - Accent3 2 7 3 2" xfId="14717" xr:uid="{CB24241D-3C4B-4251-AD0E-812758EDF3FF}"/>
    <cellStyle name="40% - Accent3 2 7 4" xfId="10504" xr:uid="{F2F2F0F5-4748-4E83-A5B7-7F6E0D64DE83}"/>
    <cellStyle name="40% - Accent3 2 8" xfId="2329" xr:uid="{00000000-0005-0000-0000-00004F050000}"/>
    <cellStyle name="40% - Accent3 2 8 2" xfId="6635" xr:uid="{00000000-0005-0000-0000-000050050000}"/>
    <cellStyle name="40% - Accent3 2 8 2 2" xfId="15130" xr:uid="{660B8514-7416-44D6-B0F4-73764CB5DB59}"/>
    <cellStyle name="40% - Accent3 2 8 3" xfId="10917" xr:uid="{9D94E89D-C0BF-4123-A6F5-D6E3D37FA75A}"/>
    <cellStyle name="40% - Accent3 2 9" xfId="4569" xr:uid="{00000000-0005-0000-0000-000051050000}"/>
    <cellStyle name="40% - Accent3 2 9 2" xfId="13065" xr:uid="{EDE5C710-F8CE-4640-A0B1-5814F4A3562F}"/>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628" xr:uid="{B6876610-200D-4D12-B190-10CF41C837AA}"/>
    <cellStyle name="40% - Accent3 3 2 2 2 3" xfId="11415" xr:uid="{638A44A1-653D-44E4-82BE-B20D718C0B72}"/>
    <cellStyle name="40% - Accent3 3 2 2 3" xfId="4988" xr:uid="{00000000-0005-0000-0000-000057050000}"/>
    <cellStyle name="40% - Accent3 3 2 2 3 2" xfId="13483" xr:uid="{4AAE88B0-0F49-4443-8EBD-9CDC4D6D77B7}"/>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041" xr:uid="{E2786AFA-4E31-43D8-A264-B33F11DB7A0E}"/>
    <cellStyle name="40% - Accent3 3 2 3 2 3" xfId="11828" xr:uid="{FA8387C1-389D-4623-96B4-03C82DDB88BA}"/>
    <cellStyle name="40% - Accent3 3 2 3 3" xfId="5401" xr:uid="{00000000-0005-0000-0000-00005B050000}"/>
    <cellStyle name="40% - Accent3 3 2 3 3 2" xfId="13896" xr:uid="{5BD4F10C-B1DB-4EC6-8F19-22EED8902891}"/>
    <cellStyle name="40% - Accent3 3 2 3 4" xfId="9683" xr:uid="{7365CA7E-7A70-4E9C-A8D2-5A077B4B25BD}"/>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54" xr:uid="{99A53E3F-3E03-46DA-950B-D433FD19EDE1}"/>
    <cellStyle name="40% - Accent3 3 2 4 2 3" xfId="12241" xr:uid="{56E4DE2E-3799-4765-B1FE-59C1E5CA63E7}"/>
    <cellStyle name="40% - Accent3 3 2 4 3" xfId="5814" xr:uid="{00000000-0005-0000-0000-00005F050000}"/>
    <cellStyle name="40% - Accent3 3 2 4 3 2" xfId="14309" xr:uid="{11F6474D-5A28-4BC6-9BA0-334559112B66}"/>
    <cellStyle name="40% - Accent3 3 2 4 4" xfId="10096" xr:uid="{BB2C8A67-312F-4C4D-A8DC-F1BEC23AFD95}"/>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67" xr:uid="{1AEB6D4E-E092-4D67-BA8F-9E8EEBE068F0}"/>
    <cellStyle name="40% - Accent3 3 2 5 2 3" xfId="12654" xr:uid="{176EC331-1621-4D7F-BD03-E5B64B255105}"/>
    <cellStyle name="40% - Accent3 3 2 5 3" xfId="6227" xr:uid="{00000000-0005-0000-0000-000063050000}"/>
    <cellStyle name="40% - Accent3 3 2 5 3 2" xfId="14722" xr:uid="{7B39F570-5526-482E-B240-FF0E3E416180}"/>
    <cellStyle name="40% - Accent3 3 2 5 4" xfId="10509" xr:uid="{5B9508BC-839F-498A-BB12-E1E74AF40B8D}"/>
    <cellStyle name="40% - Accent3 3 2 6" xfId="2334" xr:uid="{00000000-0005-0000-0000-000064050000}"/>
    <cellStyle name="40% - Accent3 3 2 6 2" xfId="6640" xr:uid="{00000000-0005-0000-0000-000065050000}"/>
    <cellStyle name="40% - Accent3 3 2 6 2 2" xfId="15135" xr:uid="{829E358D-F851-4C7C-90A4-5165667D01F9}"/>
    <cellStyle name="40% - Accent3 3 2 6 3" xfId="10922" xr:uid="{67748723-D5F3-4B51-AB65-682400920A87}"/>
    <cellStyle name="40% - Accent3 3 2 7" xfId="4574" xr:uid="{00000000-0005-0000-0000-000066050000}"/>
    <cellStyle name="40% - Accent3 3 2 7 2" xfId="13070" xr:uid="{53FE65B7-9FD7-43C5-8B62-B05C33C59BBC}"/>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2 2 2" xfId="15627" xr:uid="{273B1C02-E80D-4AF8-B8D2-7B2D40150036}"/>
    <cellStyle name="40% - Accent3 3 3 2 3" xfId="11414" xr:uid="{AD5BE208-5249-4E2E-AA47-E400BD461EC1}"/>
    <cellStyle name="40% - Accent3 3 3 3" xfId="4987" xr:uid="{00000000-0005-0000-0000-00006A050000}"/>
    <cellStyle name="40% - Accent3 3 3 3 2" xfId="13482" xr:uid="{57F135E1-D81A-4DAD-B9C7-AD37DDE5D9C3}"/>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040" xr:uid="{F325078E-D8A7-468D-9ADA-A0E72E9EE54D}"/>
    <cellStyle name="40% - Accent3 3 4 2 3" xfId="11827" xr:uid="{D113BB9F-44F3-41E0-929E-F126D8A790EF}"/>
    <cellStyle name="40% - Accent3 3 4 3" xfId="5400" xr:uid="{00000000-0005-0000-0000-00006E050000}"/>
    <cellStyle name="40% - Accent3 3 4 3 2" xfId="13895" xr:uid="{7C873B89-C02B-4A06-B0B5-A5B62DF9B6A0}"/>
    <cellStyle name="40% - Accent3 3 4 4" xfId="9682" xr:uid="{F85F4C15-5C65-48C4-91E2-B0DFA08E63E5}"/>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53" xr:uid="{1C388D68-9AE3-4F2C-B859-C6566F0DD4CE}"/>
    <cellStyle name="40% - Accent3 3 5 2 3" xfId="12240" xr:uid="{B2DEC06E-3D9C-4DE8-873B-C156DEF5A31B}"/>
    <cellStyle name="40% - Accent3 3 5 3" xfId="5813" xr:uid="{00000000-0005-0000-0000-000072050000}"/>
    <cellStyle name="40% - Accent3 3 5 3 2" xfId="14308" xr:uid="{F5A17D88-0226-40B3-A9E0-48A0E56FCE1A}"/>
    <cellStyle name="40% - Accent3 3 5 4" xfId="10095" xr:uid="{ADEEC846-54F1-446F-91BB-D72BE0CA05ED}"/>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66" xr:uid="{20D001AA-7DC0-47BA-862F-F1312C971A58}"/>
    <cellStyle name="40% - Accent3 3 6 2 3" xfId="12653" xr:uid="{7B103162-2B21-4FD1-8F82-3743F21FFA2A}"/>
    <cellStyle name="40% - Accent3 3 6 3" xfId="6226" xr:uid="{00000000-0005-0000-0000-000076050000}"/>
    <cellStyle name="40% - Accent3 3 6 3 2" xfId="14721" xr:uid="{02E3450A-F9A8-4AC7-A93C-FD1AF23B28FE}"/>
    <cellStyle name="40% - Accent3 3 6 4" xfId="10508" xr:uid="{9DA136D9-7E84-41A4-ABF2-274FC9197839}"/>
    <cellStyle name="40% - Accent3 3 7" xfId="2333" xr:uid="{00000000-0005-0000-0000-000077050000}"/>
    <cellStyle name="40% - Accent3 3 7 2" xfId="6639" xr:uid="{00000000-0005-0000-0000-000078050000}"/>
    <cellStyle name="40% - Accent3 3 7 2 2" xfId="15134" xr:uid="{F36D343C-86FE-4E43-8ED2-C179E457F09A}"/>
    <cellStyle name="40% - Accent3 3 7 3" xfId="10921" xr:uid="{778D2545-1BC1-4D9A-8A86-72354CA723BF}"/>
    <cellStyle name="40% - Accent3 3 8" xfId="4573" xr:uid="{00000000-0005-0000-0000-000079050000}"/>
    <cellStyle name="40% - Accent3 3 8 2" xfId="13069" xr:uid="{DFE24701-A311-4257-8A9F-92101B73730B}"/>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629" xr:uid="{B180352B-87ED-497A-8136-1ACFBB59F666}"/>
    <cellStyle name="40% - Accent3 4 2 2 3" xfId="11416" xr:uid="{5467A453-8F78-4CA4-AECC-F3F427BCE59D}"/>
    <cellStyle name="40% - Accent3 4 2 3" xfId="4989" xr:uid="{00000000-0005-0000-0000-00007E050000}"/>
    <cellStyle name="40% - Accent3 4 2 3 2" xfId="13484" xr:uid="{F87B84E3-25BA-45E0-BBFD-1683029CDB4B}"/>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042" xr:uid="{E407669C-10EA-41F8-B080-1780EDF76A2B}"/>
    <cellStyle name="40% - Accent3 4 3 2 3" xfId="11829" xr:uid="{9C703580-1BB9-44EB-8AC2-854C30423D08}"/>
    <cellStyle name="40% - Accent3 4 3 3" xfId="5402" xr:uid="{00000000-0005-0000-0000-000082050000}"/>
    <cellStyle name="40% - Accent3 4 3 3 2" xfId="13897" xr:uid="{3D7B1742-97D9-468D-9F23-CE964E1C4F3B}"/>
    <cellStyle name="40% - Accent3 4 3 4" xfId="9684" xr:uid="{BF44993B-5805-40FF-9D34-D4E35DFD92A5}"/>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55" xr:uid="{824A50BF-0135-443C-9F67-D77D1287A57A}"/>
    <cellStyle name="40% - Accent3 4 4 2 3" xfId="12242" xr:uid="{424564AE-E2A6-4328-9EC9-56C1C37A5505}"/>
    <cellStyle name="40% - Accent3 4 4 3" xfId="5815" xr:uid="{00000000-0005-0000-0000-000086050000}"/>
    <cellStyle name="40% - Accent3 4 4 3 2" xfId="14310" xr:uid="{0762C0CA-589D-47DC-9132-7E55A9D498C0}"/>
    <cellStyle name="40% - Accent3 4 4 4" xfId="10097" xr:uid="{8084645A-97C2-484D-91A2-B7F55FBBF50B}"/>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68" xr:uid="{CDDB2BF7-72F9-48EC-9A7F-154700BFDBB2}"/>
    <cellStyle name="40% - Accent3 4 5 2 3" xfId="12655" xr:uid="{7114A8C3-7A3C-4CB2-9C32-801C5752966E}"/>
    <cellStyle name="40% - Accent3 4 5 3" xfId="6228" xr:uid="{00000000-0005-0000-0000-00008A050000}"/>
    <cellStyle name="40% - Accent3 4 5 3 2" xfId="14723" xr:uid="{EC64C17F-8A34-4BB6-8671-F87A2A60B49A}"/>
    <cellStyle name="40% - Accent3 4 5 4" xfId="10510" xr:uid="{DE3AEBB7-41F4-4984-A88D-62C79F371CA7}"/>
    <cellStyle name="40% - Accent3 4 6" xfId="2335" xr:uid="{00000000-0005-0000-0000-00008B050000}"/>
    <cellStyle name="40% - Accent3 4 6 2" xfId="6641" xr:uid="{00000000-0005-0000-0000-00008C050000}"/>
    <cellStyle name="40% - Accent3 4 6 2 2" xfId="15136" xr:uid="{07B26735-C9E6-4AD6-A876-CB4C7142A47F}"/>
    <cellStyle name="40% - Accent3 4 6 3" xfId="10923" xr:uid="{DAEC2418-7986-4E7D-9CB3-8F12F17BDFCC}"/>
    <cellStyle name="40% - Accent3 4 7" xfId="4575" xr:uid="{00000000-0005-0000-0000-00008D050000}"/>
    <cellStyle name="40% - Accent3 4 7 2" xfId="13071" xr:uid="{A79FC1A6-3D49-4B2F-AE15-138AF8926DBD}"/>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2 2 2" xfId="15622" xr:uid="{09B104B0-C80C-4476-9774-0A72F3CC43E6}"/>
    <cellStyle name="40% - Accent3 5 2 3" xfId="11409" xr:uid="{A7A4D77B-6266-45D8-A403-1C86CDA429EF}"/>
    <cellStyle name="40% - Accent3 5 3" xfId="4982" xr:uid="{00000000-0005-0000-0000-000091050000}"/>
    <cellStyle name="40% - Accent3 5 3 2" xfId="13477" xr:uid="{05114E40-9E9A-426A-BB90-6775CAA211BA}"/>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2 2 2" xfId="16035" xr:uid="{59AE05B9-E91B-4C72-9DD1-04AC799D3ABF}"/>
    <cellStyle name="40% - Accent3 6 2 3" xfId="11822" xr:uid="{2DF2B18F-55F1-4F95-AC32-0C6D70AE7D5D}"/>
    <cellStyle name="40% - Accent3 6 3" xfId="5395" xr:uid="{00000000-0005-0000-0000-000095050000}"/>
    <cellStyle name="40% - Accent3 6 3 2" xfId="13890" xr:uid="{FDC7921D-234D-47C5-9AF7-F8C9A45242AF}"/>
    <cellStyle name="40% - Accent3 6 4" xfId="9677" xr:uid="{135196F3-EAC1-467F-86A2-272D10EB6FE0}"/>
    <cellStyle name="40% - Accent3 7" xfId="1501" xr:uid="{00000000-0005-0000-0000-000096050000}"/>
    <cellStyle name="40% - Accent3 7 2" xfId="3731" xr:uid="{00000000-0005-0000-0000-000097050000}"/>
    <cellStyle name="40% - Accent3 7 2 2" xfId="7953" xr:uid="{00000000-0005-0000-0000-000098050000}"/>
    <cellStyle name="40% - Accent3 7 2 2 2" xfId="16448" xr:uid="{02242EE9-6FBA-472E-8C21-B0821862885C}"/>
    <cellStyle name="40% - Accent3 7 2 3" xfId="12235" xr:uid="{B87C71B5-8B6E-45FC-B14D-F612CD9A4EC8}"/>
    <cellStyle name="40% - Accent3 7 3" xfId="5808" xr:uid="{00000000-0005-0000-0000-000099050000}"/>
    <cellStyle name="40% - Accent3 7 3 2" xfId="14303" xr:uid="{2EA31B1C-67B0-4F44-8F8D-53135D5F3F3C}"/>
    <cellStyle name="40% - Accent3 7 4" xfId="10090" xr:uid="{C22C1095-35CA-4F21-B94C-7F9ED483634F}"/>
    <cellStyle name="40% - Accent3 8" xfId="1915" xr:uid="{00000000-0005-0000-0000-00009A050000}"/>
    <cellStyle name="40% - Accent3 8 2" xfId="4144" xr:uid="{00000000-0005-0000-0000-00009B050000}"/>
    <cellStyle name="40% - Accent3 8 2 2" xfId="8366" xr:uid="{00000000-0005-0000-0000-00009C050000}"/>
    <cellStyle name="40% - Accent3 8 2 2 2" xfId="16861" xr:uid="{15252CBB-3AFA-4DCF-BCE3-E19CA9E92506}"/>
    <cellStyle name="40% - Accent3 8 2 3" xfId="12648" xr:uid="{B36F063C-EE21-496D-9370-7611C826C301}"/>
    <cellStyle name="40% - Accent3 8 3" xfId="6221" xr:uid="{00000000-0005-0000-0000-00009D050000}"/>
    <cellStyle name="40% - Accent3 8 3 2" xfId="14716" xr:uid="{90C44740-C8CC-4BF4-BF31-9555329B0997}"/>
    <cellStyle name="40% - Accent3 8 4" xfId="10503" xr:uid="{DB75AE96-55C2-4095-AC9B-68014701BC3E}"/>
    <cellStyle name="40% - Accent3 9" xfId="2328" xr:uid="{00000000-0005-0000-0000-00009E050000}"/>
    <cellStyle name="40% - Accent3 9 2" xfId="6634" xr:uid="{00000000-0005-0000-0000-00009F050000}"/>
    <cellStyle name="40% - Accent3 9 2 2" xfId="15129" xr:uid="{231CD682-5F5F-40EA-88CC-6A517C785766}"/>
    <cellStyle name="40% - Accent3 9 3" xfId="10916" xr:uid="{3460BA72-EA6F-4AE0-8D80-9F0FBCD53277}"/>
    <cellStyle name="40% - Accent4" xfId="73" builtinId="43" customBuiltin="1"/>
    <cellStyle name="40% - Accent4 10" xfId="4576" xr:uid="{00000000-0005-0000-0000-0000A1050000}"/>
    <cellStyle name="40% - Accent4 10 2" xfId="13072" xr:uid="{18436F7D-8EF6-4CB6-B325-AC6A280BBC0D}"/>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633" xr:uid="{4B08266F-CF86-4D78-9982-525F808C2197}"/>
    <cellStyle name="40% - Accent4 2 2 2 2 2 3" xfId="11420" xr:uid="{3446228D-46A2-4595-B72D-9F2AC81E9C4E}"/>
    <cellStyle name="40% - Accent4 2 2 2 2 3" xfId="4993" xr:uid="{00000000-0005-0000-0000-0000A8050000}"/>
    <cellStyle name="40% - Accent4 2 2 2 2 3 2" xfId="13488" xr:uid="{69A05819-5BFD-4788-90A9-35735A212244}"/>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46" xr:uid="{09D66297-8EB4-4F46-A3A6-E2C0015AE262}"/>
    <cellStyle name="40% - Accent4 2 2 2 3 2 3" xfId="11833" xr:uid="{D99A3DD2-D1D5-4AAC-81ED-AF6168624F77}"/>
    <cellStyle name="40% - Accent4 2 2 2 3 3" xfId="5406" xr:uid="{00000000-0005-0000-0000-0000AC050000}"/>
    <cellStyle name="40% - Accent4 2 2 2 3 3 2" xfId="13901" xr:uid="{FB0AA5AA-A188-4207-BA4B-716F72150981}"/>
    <cellStyle name="40% - Accent4 2 2 2 3 4" xfId="9688" xr:uid="{5EB9AF5A-BADA-41C8-9C66-2407D999AF66}"/>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59" xr:uid="{44A4D327-3863-471D-BFA0-975053D1161B}"/>
    <cellStyle name="40% - Accent4 2 2 2 4 2 3" xfId="12246" xr:uid="{2923C5B4-20B6-4BFD-A99A-2CE126FAAE8D}"/>
    <cellStyle name="40% - Accent4 2 2 2 4 3" xfId="5819" xr:uid="{00000000-0005-0000-0000-0000B0050000}"/>
    <cellStyle name="40% - Accent4 2 2 2 4 3 2" xfId="14314" xr:uid="{69303C2C-76B5-401B-BB60-18DFDF502EFC}"/>
    <cellStyle name="40% - Accent4 2 2 2 4 4" xfId="10101" xr:uid="{A29BD9B8-0034-4F3B-85CA-3EB790DFE6DC}"/>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72" xr:uid="{2131584A-7DEF-4DA8-8C87-F5ECE8EBE84E}"/>
    <cellStyle name="40% - Accent4 2 2 2 5 2 3" xfId="12659" xr:uid="{A36825FE-8B2A-428A-A060-0669B970FA41}"/>
    <cellStyle name="40% - Accent4 2 2 2 5 3" xfId="6232" xr:uid="{00000000-0005-0000-0000-0000B4050000}"/>
    <cellStyle name="40% - Accent4 2 2 2 5 3 2" xfId="14727" xr:uid="{7AA45F84-4BF5-4FDB-8648-5B61DB888F0F}"/>
    <cellStyle name="40% - Accent4 2 2 2 5 4" xfId="10514" xr:uid="{4FC0456F-C39A-4EA3-A145-7DAD0C9A9019}"/>
    <cellStyle name="40% - Accent4 2 2 2 6" xfId="2339" xr:uid="{00000000-0005-0000-0000-0000B5050000}"/>
    <cellStyle name="40% - Accent4 2 2 2 6 2" xfId="6645" xr:uid="{00000000-0005-0000-0000-0000B6050000}"/>
    <cellStyle name="40% - Accent4 2 2 2 6 2 2" xfId="15140" xr:uid="{7CE09F97-63F7-4D5D-ACFB-8BB0964C134E}"/>
    <cellStyle name="40% - Accent4 2 2 2 6 3" xfId="10927" xr:uid="{0E8FD280-EA28-4ED7-9122-692D2287415C}"/>
    <cellStyle name="40% - Accent4 2 2 2 7" xfId="4579" xr:uid="{00000000-0005-0000-0000-0000B7050000}"/>
    <cellStyle name="40% - Accent4 2 2 2 7 2" xfId="13075" xr:uid="{78C26662-59E5-4120-AE0C-24DF31E6B812}"/>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632" xr:uid="{769A6101-2BCE-451C-9738-1C0EDD2DE57C}"/>
    <cellStyle name="40% - Accent4 2 2 3 2 3" xfId="11419" xr:uid="{366F4BB1-BB6E-4DF3-8799-7C4F0994F851}"/>
    <cellStyle name="40% - Accent4 2 2 3 3" xfId="4992" xr:uid="{00000000-0005-0000-0000-0000BB050000}"/>
    <cellStyle name="40% - Accent4 2 2 3 3 2" xfId="13487" xr:uid="{D369A38B-7E8B-4015-9413-275C92D90F32}"/>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45" xr:uid="{66BC170E-B9BA-49FC-B13B-31F7D74769A4}"/>
    <cellStyle name="40% - Accent4 2 2 4 2 3" xfId="11832" xr:uid="{6C1FFBB9-E8EB-4113-A673-47A5D1FEBBE3}"/>
    <cellStyle name="40% - Accent4 2 2 4 3" xfId="5405" xr:uid="{00000000-0005-0000-0000-0000BF050000}"/>
    <cellStyle name="40% - Accent4 2 2 4 3 2" xfId="13900" xr:uid="{5C7A86EC-067F-410D-A872-35E7E9489956}"/>
    <cellStyle name="40% - Accent4 2 2 4 4" xfId="9687" xr:uid="{40D80AB6-AF8B-4AC9-9EF5-ECCA9A836C00}"/>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58" xr:uid="{28F58E56-9ADB-474A-AE45-064E79C51DF3}"/>
    <cellStyle name="40% - Accent4 2 2 5 2 3" xfId="12245" xr:uid="{643DF5E8-231B-42A6-ADB8-558EAF18F5A4}"/>
    <cellStyle name="40% - Accent4 2 2 5 3" xfId="5818" xr:uid="{00000000-0005-0000-0000-0000C3050000}"/>
    <cellStyle name="40% - Accent4 2 2 5 3 2" xfId="14313" xr:uid="{B58BB0E9-D134-49BA-8F0F-EB1FED9D852F}"/>
    <cellStyle name="40% - Accent4 2 2 5 4" xfId="10100" xr:uid="{E1680502-64CF-4734-8D6E-96B10FAD8EA4}"/>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71" xr:uid="{C8142513-C2A7-47B2-ABF2-C108C4D9B72D}"/>
    <cellStyle name="40% - Accent4 2 2 6 2 3" xfId="12658" xr:uid="{0FE83EFE-DABD-47D4-BAB5-3392F7A8E0FA}"/>
    <cellStyle name="40% - Accent4 2 2 6 3" xfId="6231" xr:uid="{00000000-0005-0000-0000-0000C7050000}"/>
    <cellStyle name="40% - Accent4 2 2 6 3 2" xfId="14726" xr:uid="{17DA88A5-4672-499F-AA4D-D63D45B675B7}"/>
    <cellStyle name="40% - Accent4 2 2 6 4" xfId="10513" xr:uid="{F886DB42-0F66-4A89-B3AA-A695CE31728E}"/>
    <cellStyle name="40% - Accent4 2 2 7" xfId="2338" xr:uid="{00000000-0005-0000-0000-0000C8050000}"/>
    <cellStyle name="40% - Accent4 2 2 7 2" xfId="6644" xr:uid="{00000000-0005-0000-0000-0000C9050000}"/>
    <cellStyle name="40% - Accent4 2 2 7 2 2" xfId="15139" xr:uid="{06966A41-791F-4A95-82A6-C69345F82534}"/>
    <cellStyle name="40% - Accent4 2 2 7 3" xfId="10926" xr:uid="{6A2AC606-CF3A-468B-B82F-D4AD89A8F80C}"/>
    <cellStyle name="40% - Accent4 2 2 8" xfId="4578" xr:uid="{00000000-0005-0000-0000-0000CA050000}"/>
    <cellStyle name="40% - Accent4 2 2 8 2" xfId="13074" xr:uid="{99D2E396-BB07-4073-8E93-0196AC8E95BA}"/>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634" xr:uid="{E24F6973-BC5E-4B5D-A1EE-E521A5A36653}"/>
    <cellStyle name="40% - Accent4 2 3 2 2 3" xfId="11421" xr:uid="{BBCB6CA1-2926-47F9-AD05-E7124DD39088}"/>
    <cellStyle name="40% - Accent4 2 3 2 3" xfId="4994" xr:uid="{00000000-0005-0000-0000-0000CF050000}"/>
    <cellStyle name="40% - Accent4 2 3 2 3 2" xfId="13489" xr:uid="{25648AAE-3759-4491-8260-B6ED25A9AD57}"/>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47" xr:uid="{B76C40A6-636C-48BB-A8FD-08C8C600F252}"/>
    <cellStyle name="40% - Accent4 2 3 3 2 3" xfId="11834" xr:uid="{BFE49E37-CB52-4FDA-B147-37DB141D9667}"/>
    <cellStyle name="40% - Accent4 2 3 3 3" xfId="5407" xr:uid="{00000000-0005-0000-0000-0000D3050000}"/>
    <cellStyle name="40% - Accent4 2 3 3 3 2" xfId="13902" xr:uid="{1136B4F2-A158-4FFF-8DAE-E02E2851D045}"/>
    <cellStyle name="40% - Accent4 2 3 3 4" xfId="9689" xr:uid="{EE960B61-5003-4F47-95A9-FBF348EE3499}"/>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60" xr:uid="{3D593EEB-8C40-4B61-A6BB-FD1E810A6F8A}"/>
    <cellStyle name="40% - Accent4 2 3 4 2 3" xfId="12247" xr:uid="{1359CF54-96EB-41B9-8868-6F2D60F0FEFD}"/>
    <cellStyle name="40% - Accent4 2 3 4 3" xfId="5820" xr:uid="{00000000-0005-0000-0000-0000D7050000}"/>
    <cellStyle name="40% - Accent4 2 3 4 3 2" xfId="14315" xr:uid="{02784EBC-DD05-489A-88CB-96525A84E09C}"/>
    <cellStyle name="40% - Accent4 2 3 4 4" xfId="10102" xr:uid="{B3F6C054-2053-409B-BAFD-28C3C117B1EA}"/>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73" xr:uid="{BF7A0D7A-BE05-4492-BC6A-2224BBB0662F}"/>
    <cellStyle name="40% - Accent4 2 3 5 2 3" xfId="12660" xr:uid="{32F1AA49-BC80-4763-8AE6-1EC3087ECEC0}"/>
    <cellStyle name="40% - Accent4 2 3 5 3" xfId="6233" xr:uid="{00000000-0005-0000-0000-0000DB050000}"/>
    <cellStyle name="40% - Accent4 2 3 5 3 2" xfId="14728" xr:uid="{DC3A3F64-4C84-429D-A182-629ACD5C2191}"/>
    <cellStyle name="40% - Accent4 2 3 5 4" xfId="10515" xr:uid="{A3233985-0EA8-4793-A7FF-E97809705D21}"/>
    <cellStyle name="40% - Accent4 2 3 6" xfId="2340" xr:uid="{00000000-0005-0000-0000-0000DC050000}"/>
    <cellStyle name="40% - Accent4 2 3 6 2" xfId="6646" xr:uid="{00000000-0005-0000-0000-0000DD050000}"/>
    <cellStyle name="40% - Accent4 2 3 6 2 2" xfId="15141" xr:uid="{04D7118C-E44A-4A30-A107-F2DB7E8F3B62}"/>
    <cellStyle name="40% - Accent4 2 3 6 3" xfId="10928" xr:uid="{020C3739-2BF3-4936-ADE5-2E1BF47AAB10}"/>
    <cellStyle name="40% - Accent4 2 3 7" xfId="4580" xr:uid="{00000000-0005-0000-0000-0000DE050000}"/>
    <cellStyle name="40% - Accent4 2 3 7 2" xfId="13076" xr:uid="{8B322CF8-43B9-4B9C-A870-349D8F574F4D}"/>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2 2 2" xfId="15631" xr:uid="{FB65AF9A-1FF5-4F3C-BA01-0B0275D4D923}"/>
    <cellStyle name="40% - Accent4 2 4 2 3" xfId="11418" xr:uid="{A967117C-4817-48EC-AFFD-EE1F7F1844CA}"/>
    <cellStyle name="40% - Accent4 2 4 3" xfId="4991" xr:uid="{00000000-0005-0000-0000-0000E2050000}"/>
    <cellStyle name="40% - Accent4 2 4 3 2" xfId="13486" xr:uid="{18FC6A0D-869D-440B-AD69-4CC1805843C2}"/>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044" xr:uid="{FE61A312-2128-4E7C-819F-A7FD52859B40}"/>
    <cellStyle name="40% - Accent4 2 5 2 3" xfId="11831" xr:uid="{1144F14F-5ABF-440A-A645-177AE689708D}"/>
    <cellStyle name="40% - Accent4 2 5 3" xfId="5404" xr:uid="{00000000-0005-0000-0000-0000E6050000}"/>
    <cellStyle name="40% - Accent4 2 5 3 2" xfId="13899" xr:uid="{6BD2C01D-2A39-4DE9-B5A8-6BE92B79E6DF}"/>
    <cellStyle name="40% - Accent4 2 5 4" xfId="9686" xr:uid="{8C599DEC-43B5-4E16-B752-095542718A6E}"/>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57" xr:uid="{41945547-F18A-4A3E-957B-64FC0BCF82CE}"/>
    <cellStyle name="40% - Accent4 2 6 2 3" xfId="12244" xr:uid="{A6C6F0D7-6486-417E-BED7-F81FA4534753}"/>
    <cellStyle name="40% - Accent4 2 6 3" xfId="5817" xr:uid="{00000000-0005-0000-0000-0000EA050000}"/>
    <cellStyle name="40% - Accent4 2 6 3 2" xfId="14312" xr:uid="{61B26128-07BE-4C7D-B670-B36170237B1F}"/>
    <cellStyle name="40% - Accent4 2 6 4" xfId="10099" xr:uid="{826B0C0B-B0CC-4368-BF23-A618E901A3EA}"/>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70" xr:uid="{50CC9AAA-772D-46A1-AA12-236D0BEAEAF7}"/>
    <cellStyle name="40% - Accent4 2 7 2 3" xfId="12657" xr:uid="{E8329FD4-F662-4617-94CB-4C8E2BF58D0D}"/>
    <cellStyle name="40% - Accent4 2 7 3" xfId="6230" xr:uid="{00000000-0005-0000-0000-0000EE050000}"/>
    <cellStyle name="40% - Accent4 2 7 3 2" xfId="14725" xr:uid="{9AE1FD2B-8A2E-4790-B868-655E94836AAF}"/>
    <cellStyle name="40% - Accent4 2 7 4" xfId="10512" xr:uid="{5976C13B-E8BD-4C45-B631-28A9C181192F}"/>
    <cellStyle name="40% - Accent4 2 8" xfId="2337" xr:uid="{00000000-0005-0000-0000-0000EF050000}"/>
    <cellStyle name="40% - Accent4 2 8 2" xfId="6643" xr:uid="{00000000-0005-0000-0000-0000F0050000}"/>
    <cellStyle name="40% - Accent4 2 8 2 2" xfId="15138" xr:uid="{81D77C8E-011B-4299-9F6B-FBA25A16C2F6}"/>
    <cellStyle name="40% - Accent4 2 8 3" xfId="10925" xr:uid="{57FAE5C9-6326-4C85-8640-F725DBF8CEAF}"/>
    <cellStyle name="40% - Accent4 2 9" xfId="4577" xr:uid="{00000000-0005-0000-0000-0000F1050000}"/>
    <cellStyle name="40% - Accent4 2 9 2" xfId="13073" xr:uid="{1B8968FA-9ED8-4DB3-8AE4-096CE59786CE}"/>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636" xr:uid="{6D62EC82-1F75-42FA-B9AC-C3D2723D5434}"/>
    <cellStyle name="40% - Accent4 3 2 2 2 3" xfId="11423" xr:uid="{7486E4CD-D847-4D17-AAA6-1DA8C8DD8674}"/>
    <cellStyle name="40% - Accent4 3 2 2 3" xfId="4996" xr:uid="{00000000-0005-0000-0000-0000F7050000}"/>
    <cellStyle name="40% - Accent4 3 2 2 3 2" xfId="13491" xr:uid="{4B8868E5-169C-4CBA-833C-1A5D780BD861}"/>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49" xr:uid="{83CC5709-D8F5-4C28-9EA0-4FABE329C3C8}"/>
    <cellStyle name="40% - Accent4 3 2 3 2 3" xfId="11836" xr:uid="{29F5064E-E1ED-4CD2-A0B0-FF1B6C290384}"/>
    <cellStyle name="40% - Accent4 3 2 3 3" xfId="5409" xr:uid="{00000000-0005-0000-0000-0000FB050000}"/>
    <cellStyle name="40% - Accent4 3 2 3 3 2" xfId="13904" xr:uid="{6570C96B-AF2D-463C-B2D8-E653EDD0C03A}"/>
    <cellStyle name="40% - Accent4 3 2 3 4" xfId="9691" xr:uid="{EDF9B895-24CA-4DBB-BB30-3D584A3DCBAE}"/>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62" xr:uid="{8DDBE9FA-2BFF-485B-A598-83C61D8ADD1F}"/>
    <cellStyle name="40% - Accent4 3 2 4 2 3" xfId="12249" xr:uid="{DE332268-A7B8-4154-976C-682A7D3C951E}"/>
    <cellStyle name="40% - Accent4 3 2 4 3" xfId="5822" xr:uid="{00000000-0005-0000-0000-0000FF050000}"/>
    <cellStyle name="40% - Accent4 3 2 4 3 2" xfId="14317" xr:uid="{1FC738CD-0D8D-4425-9A12-714E915B2EAA}"/>
    <cellStyle name="40% - Accent4 3 2 4 4" xfId="10104" xr:uid="{8BB3056A-87F2-444A-9322-323D1D9F2802}"/>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75" xr:uid="{C248510E-2D96-4928-AB96-B144E8953531}"/>
    <cellStyle name="40% - Accent4 3 2 5 2 3" xfId="12662" xr:uid="{6E985114-2502-4EDC-A605-529555A55B43}"/>
    <cellStyle name="40% - Accent4 3 2 5 3" xfId="6235" xr:uid="{00000000-0005-0000-0000-000003060000}"/>
    <cellStyle name="40% - Accent4 3 2 5 3 2" xfId="14730" xr:uid="{2AB69711-E513-471F-BB10-4101CAFFD655}"/>
    <cellStyle name="40% - Accent4 3 2 5 4" xfId="10517" xr:uid="{00559098-5671-4246-A0F8-E345C83D1949}"/>
    <cellStyle name="40% - Accent4 3 2 6" xfId="2342" xr:uid="{00000000-0005-0000-0000-000004060000}"/>
    <cellStyle name="40% - Accent4 3 2 6 2" xfId="6648" xr:uid="{00000000-0005-0000-0000-000005060000}"/>
    <cellStyle name="40% - Accent4 3 2 6 2 2" xfId="15143" xr:uid="{44BED696-9B27-4728-AC34-7B563B2E6DE7}"/>
    <cellStyle name="40% - Accent4 3 2 6 3" xfId="10930" xr:uid="{345731A2-552C-4D00-8CD4-F26F1D5FF401}"/>
    <cellStyle name="40% - Accent4 3 2 7" xfId="4582" xr:uid="{00000000-0005-0000-0000-000006060000}"/>
    <cellStyle name="40% - Accent4 3 2 7 2" xfId="13078" xr:uid="{F040D34E-88EE-4F9F-8986-22D274141FC8}"/>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2 2 2" xfId="15635" xr:uid="{4068C1BB-330D-4054-838F-961001E91C9B}"/>
    <cellStyle name="40% - Accent4 3 3 2 3" xfId="11422" xr:uid="{293749D0-7773-44D8-8240-8EA05166B5C0}"/>
    <cellStyle name="40% - Accent4 3 3 3" xfId="4995" xr:uid="{00000000-0005-0000-0000-00000A060000}"/>
    <cellStyle name="40% - Accent4 3 3 3 2" xfId="13490" xr:uid="{9D1D0FE9-7C38-4614-A3B4-ABD01E24D23C}"/>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48" xr:uid="{66343B14-C68E-49AB-A8EE-703C79C0427F}"/>
    <cellStyle name="40% - Accent4 3 4 2 3" xfId="11835" xr:uid="{9E1DAB52-A7BF-42D4-959E-1F9F48D4B1DF}"/>
    <cellStyle name="40% - Accent4 3 4 3" xfId="5408" xr:uid="{00000000-0005-0000-0000-00000E060000}"/>
    <cellStyle name="40% - Accent4 3 4 3 2" xfId="13903" xr:uid="{2A85D457-3D0F-40BA-BF12-6AE388CE09F3}"/>
    <cellStyle name="40% - Accent4 3 4 4" xfId="9690" xr:uid="{50C1A195-4B13-4F14-9257-9FF65D222C00}"/>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61" xr:uid="{ADA2423F-F703-4AE4-835D-2D5E35815EB7}"/>
    <cellStyle name="40% - Accent4 3 5 2 3" xfId="12248" xr:uid="{083FD2FA-9C2E-42EA-888B-69E1C38E41A1}"/>
    <cellStyle name="40% - Accent4 3 5 3" xfId="5821" xr:uid="{00000000-0005-0000-0000-000012060000}"/>
    <cellStyle name="40% - Accent4 3 5 3 2" xfId="14316" xr:uid="{3F067386-F4C4-4969-B715-D9BE60B5A6C4}"/>
    <cellStyle name="40% - Accent4 3 5 4" xfId="10103" xr:uid="{F1EA5198-210D-419A-889E-37FA6FCCCD6B}"/>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74" xr:uid="{8D40614D-5C40-48C4-8957-94543A56AA2F}"/>
    <cellStyle name="40% - Accent4 3 6 2 3" xfId="12661" xr:uid="{DCC28D75-1466-4F20-A742-E934516AEA2C}"/>
    <cellStyle name="40% - Accent4 3 6 3" xfId="6234" xr:uid="{00000000-0005-0000-0000-000016060000}"/>
    <cellStyle name="40% - Accent4 3 6 3 2" xfId="14729" xr:uid="{F4688FE4-1E98-420C-884E-51DD91B9F28F}"/>
    <cellStyle name="40% - Accent4 3 6 4" xfId="10516" xr:uid="{F969BBAB-B273-41C5-8140-579066A0C5A6}"/>
    <cellStyle name="40% - Accent4 3 7" xfId="2341" xr:uid="{00000000-0005-0000-0000-000017060000}"/>
    <cellStyle name="40% - Accent4 3 7 2" xfId="6647" xr:uid="{00000000-0005-0000-0000-000018060000}"/>
    <cellStyle name="40% - Accent4 3 7 2 2" xfId="15142" xr:uid="{C9CE7669-1945-405C-B71A-B9E2DFF17F39}"/>
    <cellStyle name="40% - Accent4 3 7 3" xfId="10929" xr:uid="{63E4DB5B-AA79-4766-BA4A-C8680BAF5B61}"/>
    <cellStyle name="40% - Accent4 3 8" xfId="4581" xr:uid="{00000000-0005-0000-0000-000019060000}"/>
    <cellStyle name="40% - Accent4 3 8 2" xfId="13077" xr:uid="{B2B5EAAC-0D62-4C32-BD8C-319D2C4ED106}"/>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637" xr:uid="{E9356B87-6AF7-4DBE-9470-E4170BC07394}"/>
    <cellStyle name="40% - Accent4 4 2 2 3" xfId="11424" xr:uid="{EE84F42B-205C-426C-9BAE-7DDBF01A62E5}"/>
    <cellStyle name="40% - Accent4 4 2 3" xfId="4997" xr:uid="{00000000-0005-0000-0000-00001E060000}"/>
    <cellStyle name="40% - Accent4 4 2 3 2" xfId="13492" xr:uid="{B9A8919C-FE52-41CC-B42C-1873BFA477B6}"/>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50" xr:uid="{482CC3BA-0C53-4047-BBE8-B1EE9FD4AA36}"/>
    <cellStyle name="40% - Accent4 4 3 2 3" xfId="11837" xr:uid="{80CC1546-09FB-43ED-86F7-8BCBF0CD7BC2}"/>
    <cellStyle name="40% - Accent4 4 3 3" xfId="5410" xr:uid="{00000000-0005-0000-0000-000022060000}"/>
    <cellStyle name="40% - Accent4 4 3 3 2" xfId="13905" xr:uid="{C5C659B8-6509-4F9E-84FC-6A02AF69D15F}"/>
    <cellStyle name="40% - Accent4 4 3 4" xfId="9692" xr:uid="{A10658C8-4F66-4F14-927A-FB0EF9665758}"/>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63" xr:uid="{0CEAB899-43A4-47C8-975F-AD4AB05FAD67}"/>
    <cellStyle name="40% - Accent4 4 4 2 3" xfId="12250" xr:uid="{DFE95825-A410-47C3-872F-AFB5020B5743}"/>
    <cellStyle name="40% - Accent4 4 4 3" xfId="5823" xr:uid="{00000000-0005-0000-0000-000026060000}"/>
    <cellStyle name="40% - Accent4 4 4 3 2" xfId="14318" xr:uid="{33D2D91A-F66A-4FBA-897A-65A3F334A338}"/>
    <cellStyle name="40% - Accent4 4 4 4" xfId="10105" xr:uid="{55A801B6-B325-406C-9747-3376145F1395}"/>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76" xr:uid="{5CB29B2C-6078-4A55-BC93-2E8B71C89DA2}"/>
    <cellStyle name="40% - Accent4 4 5 2 3" xfId="12663" xr:uid="{5D415817-9F9B-408E-8A08-81CB5239DFBF}"/>
    <cellStyle name="40% - Accent4 4 5 3" xfId="6236" xr:uid="{00000000-0005-0000-0000-00002A060000}"/>
    <cellStyle name="40% - Accent4 4 5 3 2" xfId="14731" xr:uid="{E33EBE23-7490-4D85-A33B-0352A35C7E23}"/>
    <cellStyle name="40% - Accent4 4 5 4" xfId="10518" xr:uid="{2E7BFAA0-2DD1-4FD7-A9FF-9FFADE6D2A74}"/>
    <cellStyle name="40% - Accent4 4 6" xfId="2343" xr:uid="{00000000-0005-0000-0000-00002B060000}"/>
    <cellStyle name="40% - Accent4 4 6 2" xfId="6649" xr:uid="{00000000-0005-0000-0000-00002C060000}"/>
    <cellStyle name="40% - Accent4 4 6 2 2" xfId="15144" xr:uid="{3DEDC23D-9F24-484A-A5C5-1BAD9D253302}"/>
    <cellStyle name="40% - Accent4 4 6 3" xfId="10931" xr:uid="{AE4D9975-39CB-407E-B402-A5AA28BB3280}"/>
    <cellStyle name="40% - Accent4 4 7" xfId="4583" xr:uid="{00000000-0005-0000-0000-00002D060000}"/>
    <cellStyle name="40% - Accent4 4 7 2" xfId="13079" xr:uid="{D54531EF-2754-4859-A626-7DF5C286685C}"/>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2 2 2" xfId="15630" xr:uid="{42F84F7E-09F0-432F-BB20-070D976538B8}"/>
    <cellStyle name="40% - Accent4 5 2 3" xfId="11417" xr:uid="{335F2328-169E-46D8-A664-171FDFCEBB81}"/>
    <cellStyle name="40% - Accent4 5 3" xfId="4990" xr:uid="{00000000-0005-0000-0000-000031060000}"/>
    <cellStyle name="40% - Accent4 5 3 2" xfId="13485" xr:uid="{D0356538-B7C1-4012-956A-AAA221C8EA23}"/>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2 2 2" xfId="16043" xr:uid="{EE6C92B8-BEED-47C6-9A92-9F301124CBC9}"/>
    <cellStyle name="40% - Accent4 6 2 3" xfId="11830" xr:uid="{6A97F3F7-4D53-4099-A772-07F81CF89F0A}"/>
    <cellStyle name="40% - Accent4 6 3" xfId="5403" xr:uid="{00000000-0005-0000-0000-000035060000}"/>
    <cellStyle name="40% - Accent4 6 3 2" xfId="13898" xr:uid="{8D36328F-DD9D-417E-A5FE-5120A31E398A}"/>
    <cellStyle name="40% - Accent4 6 4" xfId="9685" xr:uid="{2E464C03-A4F4-4E53-9BAB-EFAF73F90B34}"/>
    <cellStyle name="40% - Accent4 7" xfId="1509" xr:uid="{00000000-0005-0000-0000-000036060000}"/>
    <cellStyle name="40% - Accent4 7 2" xfId="3739" xr:uid="{00000000-0005-0000-0000-000037060000}"/>
    <cellStyle name="40% - Accent4 7 2 2" xfId="7961" xr:uid="{00000000-0005-0000-0000-000038060000}"/>
    <cellStyle name="40% - Accent4 7 2 2 2" xfId="16456" xr:uid="{8D4EB099-6D3C-466B-BD7F-6C9CDB8EBDFE}"/>
    <cellStyle name="40% - Accent4 7 2 3" xfId="12243" xr:uid="{D763CC46-2E10-436D-83C1-1D01D2E984CF}"/>
    <cellStyle name="40% - Accent4 7 3" xfId="5816" xr:uid="{00000000-0005-0000-0000-000039060000}"/>
    <cellStyle name="40% - Accent4 7 3 2" xfId="14311" xr:uid="{FF38F1C8-CCF1-4038-8B96-401AB0FDE4EB}"/>
    <cellStyle name="40% - Accent4 7 4" xfId="10098" xr:uid="{C54A3D38-8F5D-4F93-A8A3-F5AF68FAD4CD}"/>
    <cellStyle name="40% - Accent4 8" xfId="1923" xr:uid="{00000000-0005-0000-0000-00003A060000}"/>
    <cellStyle name="40% - Accent4 8 2" xfId="4152" xr:uid="{00000000-0005-0000-0000-00003B060000}"/>
    <cellStyle name="40% - Accent4 8 2 2" xfId="8374" xr:uid="{00000000-0005-0000-0000-00003C060000}"/>
    <cellStyle name="40% - Accent4 8 2 2 2" xfId="16869" xr:uid="{6464AF90-4B8B-4F3B-83B6-418FE6D0142D}"/>
    <cellStyle name="40% - Accent4 8 2 3" xfId="12656" xr:uid="{1E8A0C70-9FC7-445D-B249-8C1D5A41F773}"/>
    <cellStyle name="40% - Accent4 8 3" xfId="6229" xr:uid="{00000000-0005-0000-0000-00003D060000}"/>
    <cellStyle name="40% - Accent4 8 3 2" xfId="14724" xr:uid="{3E5541BA-3C90-40AE-A049-68CDBEBD04F6}"/>
    <cellStyle name="40% - Accent4 8 4" xfId="10511" xr:uid="{4324C8BA-FA5C-4321-AFA1-907A30537FA0}"/>
    <cellStyle name="40% - Accent4 9" xfId="2336" xr:uid="{00000000-0005-0000-0000-00003E060000}"/>
    <cellStyle name="40% - Accent4 9 2" xfId="6642" xr:uid="{00000000-0005-0000-0000-00003F060000}"/>
    <cellStyle name="40% - Accent4 9 2 2" xfId="15137" xr:uid="{3570CD1F-C246-4D32-9E75-5F73AEBDEEAC}"/>
    <cellStyle name="40% - Accent4 9 3" xfId="10924" xr:uid="{E2B7F0F7-3424-405D-86E3-975C0841D279}"/>
    <cellStyle name="40% - Accent5" xfId="81" builtinId="47" customBuiltin="1"/>
    <cellStyle name="40% - Accent5 10" xfId="4584" xr:uid="{00000000-0005-0000-0000-000041060000}"/>
    <cellStyle name="40% - Accent5 10 2" xfId="13080" xr:uid="{065F8520-FB70-4244-BC5E-A332799AA89E}"/>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641" xr:uid="{C23001D2-23CE-4050-B1E8-6727159A6BD1}"/>
    <cellStyle name="40% - Accent5 2 2 2 2 2 3" xfId="11428" xr:uid="{DED3DBC3-E6B7-40F1-ABFA-7B6930E55E9A}"/>
    <cellStyle name="40% - Accent5 2 2 2 2 3" xfId="5001" xr:uid="{00000000-0005-0000-0000-000048060000}"/>
    <cellStyle name="40% - Accent5 2 2 2 2 3 2" xfId="13496" xr:uid="{B97C082C-E6A2-4E1B-9165-45D659964BF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54" xr:uid="{081D5AA1-408F-40F2-AB3C-FA247896A5F0}"/>
    <cellStyle name="40% - Accent5 2 2 2 3 2 3" xfId="11841" xr:uid="{026996BF-F8CE-4681-9101-D8305813490B}"/>
    <cellStyle name="40% - Accent5 2 2 2 3 3" xfId="5414" xr:uid="{00000000-0005-0000-0000-00004C060000}"/>
    <cellStyle name="40% - Accent5 2 2 2 3 3 2" xfId="13909" xr:uid="{2267DB6A-8859-4B38-BDAD-E6572128F4C6}"/>
    <cellStyle name="40% - Accent5 2 2 2 3 4" xfId="9696" xr:uid="{96A402B4-D2EA-4637-AD2E-9932893A3344}"/>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67" xr:uid="{4075BB7F-A4D0-4FAC-A122-81FEDEAB37CE}"/>
    <cellStyle name="40% - Accent5 2 2 2 4 2 3" xfId="12254" xr:uid="{E2C706BB-3F6F-44FD-AA69-D6AB1036ED9B}"/>
    <cellStyle name="40% - Accent5 2 2 2 4 3" xfId="5827" xr:uid="{00000000-0005-0000-0000-000050060000}"/>
    <cellStyle name="40% - Accent5 2 2 2 4 3 2" xfId="14322" xr:uid="{50450FC5-282A-4E67-BF37-96AEDBC9D5BA}"/>
    <cellStyle name="40% - Accent5 2 2 2 4 4" xfId="10109" xr:uid="{95374335-BE7E-492D-A0F7-F4076C8FF7FA}"/>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80" xr:uid="{4DA6F946-FFEA-43A4-A706-23D983BB172B}"/>
    <cellStyle name="40% - Accent5 2 2 2 5 2 3" xfId="12667" xr:uid="{299F0E6C-09B1-4334-8FBA-24960315B526}"/>
    <cellStyle name="40% - Accent5 2 2 2 5 3" xfId="6240" xr:uid="{00000000-0005-0000-0000-000054060000}"/>
    <cellStyle name="40% - Accent5 2 2 2 5 3 2" xfId="14735" xr:uid="{80B30F55-6502-446E-B97A-38FF3FB07EAB}"/>
    <cellStyle name="40% - Accent5 2 2 2 5 4" xfId="10522" xr:uid="{58BB6611-0AF9-4B31-AD78-58547AD640A9}"/>
    <cellStyle name="40% - Accent5 2 2 2 6" xfId="2347" xr:uid="{00000000-0005-0000-0000-000055060000}"/>
    <cellStyle name="40% - Accent5 2 2 2 6 2" xfId="6653" xr:uid="{00000000-0005-0000-0000-000056060000}"/>
    <cellStyle name="40% - Accent5 2 2 2 6 2 2" xfId="15148" xr:uid="{2E14983F-BC00-4F50-98E3-5589A2483384}"/>
    <cellStyle name="40% - Accent5 2 2 2 6 3" xfId="10935" xr:uid="{818C2E88-64A6-4001-B206-60CF171BB146}"/>
    <cellStyle name="40% - Accent5 2 2 2 7" xfId="4587" xr:uid="{00000000-0005-0000-0000-000057060000}"/>
    <cellStyle name="40% - Accent5 2 2 2 7 2" xfId="13083" xr:uid="{157E5732-DFDD-41EA-9C6A-91CF4336A259}"/>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640" xr:uid="{6328AC1E-FE9E-4A3F-84CF-3FD8E786517F}"/>
    <cellStyle name="40% - Accent5 2 2 3 2 3" xfId="11427" xr:uid="{C52D95D6-3628-47CC-A47F-DC6A8F27E381}"/>
    <cellStyle name="40% - Accent5 2 2 3 3" xfId="5000" xr:uid="{00000000-0005-0000-0000-00005B060000}"/>
    <cellStyle name="40% - Accent5 2 2 3 3 2" xfId="13495" xr:uid="{21E8825A-8583-40EC-8ED1-438036230E4A}"/>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53" xr:uid="{E85322A1-E649-4E8F-8CB0-6428F3FCF66C}"/>
    <cellStyle name="40% - Accent5 2 2 4 2 3" xfId="11840" xr:uid="{24A36DBA-2B17-436F-842D-45AC50B71AAA}"/>
    <cellStyle name="40% - Accent5 2 2 4 3" xfId="5413" xr:uid="{00000000-0005-0000-0000-00005F060000}"/>
    <cellStyle name="40% - Accent5 2 2 4 3 2" xfId="13908" xr:uid="{CB164D0C-36B1-4770-A5D4-66AFF65718D8}"/>
    <cellStyle name="40% - Accent5 2 2 4 4" xfId="9695" xr:uid="{F3EDFAE8-45FD-46E3-9B8D-8A1E9C74B5BB}"/>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66" xr:uid="{5720E9E9-7F13-4513-B432-740DC25E434B}"/>
    <cellStyle name="40% - Accent5 2 2 5 2 3" xfId="12253" xr:uid="{3160C6AC-34B9-411B-9F9A-03EF78D757A6}"/>
    <cellStyle name="40% - Accent5 2 2 5 3" xfId="5826" xr:uid="{00000000-0005-0000-0000-000063060000}"/>
    <cellStyle name="40% - Accent5 2 2 5 3 2" xfId="14321" xr:uid="{FAB4368F-2B30-4F70-8141-30EC1B317E71}"/>
    <cellStyle name="40% - Accent5 2 2 5 4" xfId="10108" xr:uid="{78248BF9-6243-4325-841D-DF537663D113}"/>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79" xr:uid="{E22A71A7-0992-4411-AEA8-F99E90860B73}"/>
    <cellStyle name="40% - Accent5 2 2 6 2 3" xfId="12666" xr:uid="{ECD0B77E-8485-4AF5-87AF-14A0A2B84D0B}"/>
    <cellStyle name="40% - Accent5 2 2 6 3" xfId="6239" xr:uid="{00000000-0005-0000-0000-000067060000}"/>
    <cellStyle name="40% - Accent5 2 2 6 3 2" xfId="14734" xr:uid="{20F13B71-0ABD-485D-8629-B203835D7052}"/>
    <cellStyle name="40% - Accent5 2 2 6 4" xfId="10521" xr:uid="{C2032725-E26C-4A1D-AE12-1416DD681242}"/>
    <cellStyle name="40% - Accent5 2 2 7" xfId="2346" xr:uid="{00000000-0005-0000-0000-000068060000}"/>
    <cellStyle name="40% - Accent5 2 2 7 2" xfId="6652" xr:uid="{00000000-0005-0000-0000-000069060000}"/>
    <cellStyle name="40% - Accent5 2 2 7 2 2" xfId="15147" xr:uid="{79652A80-79E8-4879-8C05-C3818795FFA0}"/>
    <cellStyle name="40% - Accent5 2 2 7 3" xfId="10934" xr:uid="{06C76F65-E5CC-483E-AB34-FE6BDB419F0B}"/>
    <cellStyle name="40% - Accent5 2 2 8" xfId="4586" xr:uid="{00000000-0005-0000-0000-00006A060000}"/>
    <cellStyle name="40% - Accent5 2 2 8 2" xfId="13082" xr:uid="{AF9E618F-7D69-4EE5-A2BE-E10203F7889E}"/>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642" xr:uid="{D51938FC-DD43-4C24-9ACF-38D1859D64C5}"/>
    <cellStyle name="40% - Accent5 2 3 2 2 3" xfId="11429" xr:uid="{7F941A66-D2C9-4AEE-AE4A-ACCDEA2E5045}"/>
    <cellStyle name="40% - Accent5 2 3 2 3" xfId="5002" xr:uid="{00000000-0005-0000-0000-00006F060000}"/>
    <cellStyle name="40% - Accent5 2 3 2 3 2" xfId="13497" xr:uid="{152E8A2F-7C42-4821-9046-1C04473B0CBB}"/>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55" xr:uid="{4BF6D353-840E-4AD8-8765-07AB13654D15}"/>
    <cellStyle name="40% - Accent5 2 3 3 2 3" xfId="11842" xr:uid="{00F3FD7C-C03F-4B45-8DA6-67F26D4BA322}"/>
    <cellStyle name="40% - Accent5 2 3 3 3" xfId="5415" xr:uid="{00000000-0005-0000-0000-000073060000}"/>
    <cellStyle name="40% - Accent5 2 3 3 3 2" xfId="13910" xr:uid="{C66515CB-83AE-4A5B-A148-24DDA3292EE1}"/>
    <cellStyle name="40% - Accent5 2 3 3 4" xfId="9697" xr:uid="{01BB8F1F-0413-4413-B560-F471B2A0333D}"/>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68" xr:uid="{2D93E964-8667-4EA9-8170-F3CC35C72B4D}"/>
    <cellStyle name="40% - Accent5 2 3 4 2 3" xfId="12255" xr:uid="{BC6BC838-2149-4354-9840-11FDE0295EB8}"/>
    <cellStyle name="40% - Accent5 2 3 4 3" xfId="5828" xr:uid="{00000000-0005-0000-0000-000077060000}"/>
    <cellStyle name="40% - Accent5 2 3 4 3 2" xfId="14323" xr:uid="{6FD40235-8E4D-45C5-865B-21040478529C}"/>
    <cellStyle name="40% - Accent5 2 3 4 4" xfId="10110" xr:uid="{11C06852-7346-4239-BFEB-B78C7C6F540B}"/>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81" xr:uid="{9AC30059-D87A-4A24-A1A5-18CEDE147A31}"/>
    <cellStyle name="40% - Accent5 2 3 5 2 3" xfId="12668" xr:uid="{C9A7FF8A-2CE0-4106-B3FD-DE256A3E113C}"/>
    <cellStyle name="40% - Accent5 2 3 5 3" xfId="6241" xr:uid="{00000000-0005-0000-0000-00007B060000}"/>
    <cellStyle name="40% - Accent5 2 3 5 3 2" xfId="14736" xr:uid="{AC75B1ED-720E-4BE1-8B76-FB8697C3E4D4}"/>
    <cellStyle name="40% - Accent5 2 3 5 4" xfId="10523" xr:uid="{1F2CDE42-78BA-40E9-B2F1-AF69F16F9BD3}"/>
    <cellStyle name="40% - Accent5 2 3 6" xfId="2348" xr:uid="{00000000-0005-0000-0000-00007C060000}"/>
    <cellStyle name="40% - Accent5 2 3 6 2" xfId="6654" xr:uid="{00000000-0005-0000-0000-00007D060000}"/>
    <cellStyle name="40% - Accent5 2 3 6 2 2" xfId="15149" xr:uid="{1EB9D684-B508-4AEC-8DB0-CC5EBB54A9F0}"/>
    <cellStyle name="40% - Accent5 2 3 6 3" xfId="10936" xr:uid="{50F7720B-CCA0-4BA5-958D-46C90791567B}"/>
    <cellStyle name="40% - Accent5 2 3 7" xfId="4588" xr:uid="{00000000-0005-0000-0000-00007E060000}"/>
    <cellStyle name="40% - Accent5 2 3 7 2" xfId="13084" xr:uid="{76F825A1-3E37-43FE-BB36-B2B5ED6F7279}"/>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2 2 2" xfId="15639" xr:uid="{E17D5A94-1100-4F78-9F59-8CE8789A9D62}"/>
    <cellStyle name="40% - Accent5 2 4 2 3" xfId="11426" xr:uid="{D20A4FBC-D208-48AA-9399-610390B36935}"/>
    <cellStyle name="40% - Accent5 2 4 3" xfId="4999" xr:uid="{00000000-0005-0000-0000-000082060000}"/>
    <cellStyle name="40% - Accent5 2 4 3 2" xfId="13494" xr:uid="{E2D1AC9D-DEE6-41BD-A0ED-1B8D488129C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52" xr:uid="{36BCCB34-FC29-482D-B5AC-721C74DB47EB}"/>
    <cellStyle name="40% - Accent5 2 5 2 3" xfId="11839" xr:uid="{01F3C643-DD8D-48E8-A3BD-4F07453625FC}"/>
    <cellStyle name="40% - Accent5 2 5 3" xfId="5412" xr:uid="{00000000-0005-0000-0000-000086060000}"/>
    <cellStyle name="40% - Accent5 2 5 3 2" xfId="13907" xr:uid="{DDC44EFD-4220-432A-87E6-CACD808AB844}"/>
    <cellStyle name="40% - Accent5 2 5 4" xfId="9694" xr:uid="{819178E5-DED1-49A7-BC82-B03932698CB5}"/>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65" xr:uid="{DC8D2189-DEA8-404F-922C-F33749C7632F}"/>
    <cellStyle name="40% - Accent5 2 6 2 3" xfId="12252" xr:uid="{35CC41A1-1985-4C36-8F16-42437A50DE26}"/>
    <cellStyle name="40% - Accent5 2 6 3" xfId="5825" xr:uid="{00000000-0005-0000-0000-00008A060000}"/>
    <cellStyle name="40% - Accent5 2 6 3 2" xfId="14320" xr:uid="{364706BB-1EAE-4C77-A0DC-BD696BE5758C}"/>
    <cellStyle name="40% - Accent5 2 6 4" xfId="10107" xr:uid="{8C95B5EA-749A-484A-A08E-38EF2927F517}"/>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78" xr:uid="{9B663CBD-8350-4549-9F8C-011B74C0CF8C}"/>
    <cellStyle name="40% - Accent5 2 7 2 3" xfId="12665" xr:uid="{0B832EC4-CD7B-45B1-AF1C-1DFF93F1ADB7}"/>
    <cellStyle name="40% - Accent5 2 7 3" xfId="6238" xr:uid="{00000000-0005-0000-0000-00008E060000}"/>
    <cellStyle name="40% - Accent5 2 7 3 2" xfId="14733" xr:uid="{AF32AFBB-C103-48AB-AD3E-AAD663F3A40F}"/>
    <cellStyle name="40% - Accent5 2 7 4" xfId="10520" xr:uid="{87BA1F6B-2DD5-4E54-BCAA-599BBE977259}"/>
    <cellStyle name="40% - Accent5 2 8" xfId="2345" xr:uid="{00000000-0005-0000-0000-00008F060000}"/>
    <cellStyle name="40% - Accent5 2 8 2" xfId="6651" xr:uid="{00000000-0005-0000-0000-000090060000}"/>
    <cellStyle name="40% - Accent5 2 8 2 2" xfId="15146" xr:uid="{62734B21-BEE4-4596-9171-1BDB6FB16A63}"/>
    <cellStyle name="40% - Accent5 2 8 3" xfId="10933" xr:uid="{32850DF5-FFD7-498B-9EEA-08B4C4978CEC}"/>
    <cellStyle name="40% - Accent5 2 9" xfId="4585" xr:uid="{00000000-0005-0000-0000-000091060000}"/>
    <cellStyle name="40% - Accent5 2 9 2" xfId="13081" xr:uid="{D3E81E9B-9788-40D4-A295-6461B6D5B285}"/>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644" xr:uid="{F498990D-8E1C-45D6-A106-16CC0476168B}"/>
    <cellStyle name="40% - Accent5 3 2 2 2 3" xfId="11431" xr:uid="{461A4DF5-75C2-4B6C-9A27-AA01CAB8F74E}"/>
    <cellStyle name="40% - Accent5 3 2 2 3" xfId="5004" xr:uid="{00000000-0005-0000-0000-000097060000}"/>
    <cellStyle name="40% - Accent5 3 2 2 3 2" xfId="13499" xr:uid="{BBDADF8D-EED3-4D7F-A6A1-541977026547}"/>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57" xr:uid="{F39FFAAD-BA9A-4539-B332-F4CE373716D8}"/>
    <cellStyle name="40% - Accent5 3 2 3 2 3" xfId="11844" xr:uid="{BCB81705-56D2-4C65-BC01-01D6003AD2E5}"/>
    <cellStyle name="40% - Accent5 3 2 3 3" xfId="5417" xr:uid="{00000000-0005-0000-0000-00009B060000}"/>
    <cellStyle name="40% - Accent5 3 2 3 3 2" xfId="13912" xr:uid="{CAEC6B0B-B4FB-4DA2-9B45-5C2C0079E535}"/>
    <cellStyle name="40% - Accent5 3 2 3 4" xfId="9699" xr:uid="{D31D112F-0E81-4212-8047-20A39E350E11}"/>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70" xr:uid="{F52EDE34-874C-4C4F-B92C-7521B101F5E2}"/>
    <cellStyle name="40% - Accent5 3 2 4 2 3" xfId="12257" xr:uid="{874B212A-E282-48D6-89AC-D724A14A337F}"/>
    <cellStyle name="40% - Accent5 3 2 4 3" xfId="5830" xr:uid="{00000000-0005-0000-0000-00009F060000}"/>
    <cellStyle name="40% - Accent5 3 2 4 3 2" xfId="14325" xr:uid="{283F35EF-AE81-4F4A-BD64-CA78F9438CDA}"/>
    <cellStyle name="40% - Accent5 3 2 4 4" xfId="10112" xr:uid="{59F0A964-AE80-4E31-90DA-EB10F08937A6}"/>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83" xr:uid="{80BEC1CC-7717-4CB8-9F3B-8665958BF4C5}"/>
    <cellStyle name="40% - Accent5 3 2 5 2 3" xfId="12670" xr:uid="{1BF002C3-3CDD-4903-8D14-30594D876ECF}"/>
    <cellStyle name="40% - Accent5 3 2 5 3" xfId="6243" xr:uid="{00000000-0005-0000-0000-0000A3060000}"/>
    <cellStyle name="40% - Accent5 3 2 5 3 2" xfId="14738" xr:uid="{453F8027-0D62-4729-825F-ABF5699AD6EB}"/>
    <cellStyle name="40% - Accent5 3 2 5 4" xfId="10525" xr:uid="{D3378F54-62F3-4F12-9DF9-1AF78CD38A0F}"/>
    <cellStyle name="40% - Accent5 3 2 6" xfId="2350" xr:uid="{00000000-0005-0000-0000-0000A4060000}"/>
    <cellStyle name="40% - Accent5 3 2 6 2" xfId="6656" xr:uid="{00000000-0005-0000-0000-0000A5060000}"/>
    <cellStyle name="40% - Accent5 3 2 6 2 2" xfId="15151" xr:uid="{F0AB6DB5-8E1D-4A3D-A090-AAD57B5C12C6}"/>
    <cellStyle name="40% - Accent5 3 2 6 3" xfId="10938" xr:uid="{14ADB39B-7A9D-444E-82CD-B6CB3F8F2303}"/>
    <cellStyle name="40% - Accent5 3 2 7" xfId="4590" xr:uid="{00000000-0005-0000-0000-0000A6060000}"/>
    <cellStyle name="40% - Accent5 3 2 7 2" xfId="13086" xr:uid="{894AC194-2D4F-4033-AE5B-0C4DD5D0F09F}"/>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2 2 2" xfId="15643" xr:uid="{8FBAF482-8ECE-440B-94F8-B03B6F10D707}"/>
    <cellStyle name="40% - Accent5 3 3 2 3" xfId="11430" xr:uid="{E1182BA0-69FD-4BA9-9651-773D35D035F3}"/>
    <cellStyle name="40% - Accent5 3 3 3" xfId="5003" xr:uid="{00000000-0005-0000-0000-0000AA060000}"/>
    <cellStyle name="40% - Accent5 3 3 3 2" xfId="13498" xr:uid="{AD0F6EC0-9B1C-41C0-837B-B60940D3B55F}"/>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56" xr:uid="{5AAD2C95-A651-4E0D-BA07-9D13BCB63D63}"/>
    <cellStyle name="40% - Accent5 3 4 2 3" xfId="11843" xr:uid="{D1A0B47E-DDDF-4A1F-A333-33733227D258}"/>
    <cellStyle name="40% - Accent5 3 4 3" xfId="5416" xr:uid="{00000000-0005-0000-0000-0000AE060000}"/>
    <cellStyle name="40% - Accent5 3 4 3 2" xfId="13911" xr:uid="{58921ED0-3302-483B-935F-C41DE8D357C8}"/>
    <cellStyle name="40% - Accent5 3 4 4" xfId="9698" xr:uid="{58E641E1-9F00-4FB6-981A-14E1ACC6760D}"/>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69" xr:uid="{E5A27537-7E8A-4795-8EC5-B0BF44E46B5D}"/>
    <cellStyle name="40% - Accent5 3 5 2 3" xfId="12256" xr:uid="{4ECC3292-D082-4E9B-ACBC-FBB49E6462EF}"/>
    <cellStyle name="40% - Accent5 3 5 3" xfId="5829" xr:uid="{00000000-0005-0000-0000-0000B2060000}"/>
    <cellStyle name="40% - Accent5 3 5 3 2" xfId="14324" xr:uid="{4674E80E-1637-48AB-B79C-460E9C8F3A6A}"/>
    <cellStyle name="40% - Accent5 3 5 4" xfId="10111" xr:uid="{1687781A-77F8-4CAC-BAA6-80AECADB85CD}"/>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82" xr:uid="{A44CC280-9365-47DA-B3A0-2ED3C7EC7B76}"/>
    <cellStyle name="40% - Accent5 3 6 2 3" xfId="12669" xr:uid="{61C2CDAA-2EA0-4E90-954F-2821EB4FCE24}"/>
    <cellStyle name="40% - Accent5 3 6 3" xfId="6242" xr:uid="{00000000-0005-0000-0000-0000B6060000}"/>
    <cellStyle name="40% - Accent5 3 6 3 2" xfId="14737" xr:uid="{7894C465-6150-4533-9D5C-9C5D6D781FB0}"/>
    <cellStyle name="40% - Accent5 3 6 4" xfId="10524" xr:uid="{7FE74034-A43B-4DB8-AB74-942209B91F79}"/>
    <cellStyle name="40% - Accent5 3 7" xfId="2349" xr:uid="{00000000-0005-0000-0000-0000B7060000}"/>
    <cellStyle name="40% - Accent5 3 7 2" xfId="6655" xr:uid="{00000000-0005-0000-0000-0000B8060000}"/>
    <cellStyle name="40% - Accent5 3 7 2 2" xfId="15150" xr:uid="{9C9CEF9C-C61F-4842-AB52-7A63C75E8071}"/>
    <cellStyle name="40% - Accent5 3 7 3" xfId="10937" xr:uid="{E2AC0417-8976-4621-A81B-ACABD42B295D}"/>
    <cellStyle name="40% - Accent5 3 8" xfId="4589" xr:uid="{00000000-0005-0000-0000-0000B9060000}"/>
    <cellStyle name="40% - Accent5 3 8 2" xfId="13085" xr:uid="{7BC30869-03E3-43F1-A903-F410F47EE194}"/>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45" xr:uid="{BDE0D14F-7169-4157-9A71-F77CB090F735}"/>
    <cellStyle name="40% - Accent5 4 2 2 3" xfId="11432" xr:uid="{DA09E0D8-3A31-41D8-969B-003A87333EFE}"/>
    <cellStyle name="40% - Accent5 4 2 3" xfId="5005" xr:uid="{00000000-0005-0000-0000-0000BE060000}"/>
    <cellStyle name="40% - Accent5 4 2 3 2" xfId="13500" xr:uid="{139A169B-5479-477F-B0AE-8BBC6F072043}"/>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58" xr:uid="{056EB8AF-4247-482D-9682-A0C202765D7B}"/>
    <cellStyle name="40% - Accent5 4 3 2 3" xfId="11845" xr:uid="{2A90ECD4-59D2-4E9A-B820-35012E868B57}"/>
    <cellStyle name="40% - Accent5 4 3 3" xfId="5418" xr:uid="{00000000-0005-0000-0000-0000C2060000}"/>
    <cellStyle name="40% - Accent5 4 3 3 2" xfId="13913" xr:uid="{B07FD734-3C78-4A00-9AB8-901E09BD3A92}"/>
    <cellStyle name="40% - Accent5 4 3 4" xfId="9700" xr:uid="{A6765386-C0D5-4B42-8FE2-F14D59E285CE}"/>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71" xr:uid="{F674557D-E8D4-4376-B0C4-F9FE00326844}"/>
    <cellStyle name="40% - Accent5 4 4 2 3" xfId="12258" xr:uid="{B4D44701-A7DF-4E96-9D15-4255D68ED812}"/>
    <cellStyle name="40% - Accent5 4 4 3" xfId="5831" xr:uid="{00000000-0005-0000-0000-0000C6060000}"/>
    <cellStyle name="40% - Accent5 4 4 3 2" xfId="14326" xr:uid="{51B3AE49-78C0-400C-80D4-683504C8F415}"/>
    <cellStyle name="40% - Accent5 4 4 4" xfId="10113" xr:uid="{3B9BFA5D-6E5E-4B81-95AD-B757A91C3361}"/>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84" xr:uid="{AC1457B0-9D70-4313-A224-7227D18C4F8F}"/>
    <cellStyle name="40% - Accent5 4 5 2 3" xfId="12671" xr:uid="{08FD61DA-6197-4FFD-BB57-1C55877F684E}"/>
    <cellStyle name="40% - Accent5 4 5 3" xfId="6244" xr:uid="{00000000-0005-0000-0000-0000CA060000}"/>
    <cellStyle name="40% - Accent5 4 5 3 2" xfId="14739" xr:uid="{06C13074-8F00-4DAF-89D3-43BE13951D65}"/>
    <cellStyle name="40% - Accent5 4 5 4" xfId="10526" xr:uid="{7D05B2E3-B4D3-4A84-906D-F23F6D3A70F2}"/>
    <cellStyle name="40% - Accent5 4 6" xfId="2351" xr:uid="{00000000-0005-0000-0000-0000CB060000}"/>
    <cellStyle name="40% - Accent5 4 6 2" xfId="6657" xr:uid="{00000000-0005-0000-0000-0000CC060000}"/>
    <cellStyle name="40% - Accent5 4 6 2 2" xfId="15152" xr:uid="{A6AF690D-E202-4D93-91AB-9A426E8CCB2B}"/>
    <cellStyle name="40% - Accent5 4 6 3" xfId="10939" xr:uid="{91D74AE4-949A-43E9-B607-968665E09C61}"/>
    <cellStyle name="40% - Accent5 4 7" xfId="4591" xr:uid="{00000000-0005-0000-0000-0000CD060000}"/>
    <cellStyle name="40% - Accent5 4 7 2" xfId="13087" xr:uid="{9BA1DBC1-156F-4B49-AF3B-1FC832BA3C56}"/>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2 2 2" xfId="15638" xr:uid="{4174825C-0D5C-4A39-9D9C-9E00BF77E37D}"/>
    <cellStyle name="40% - Accent5 5 2 3" xfId="11425" xr:uid="{1E69400F-595A-409E-9D32-B01005DD9CAD}"/>
    <cellStyle name="40% - Accent5 5 3" xfId="4998" xr:uid="{00000000-0005-0000-0000-0000D1060000}"/>
    <cellStyle name="40% - Accent5 5 3 2" xfId="13493" xr:uid="{F2E2CDD2-4671-41E3-B444-82D15916D444}"/>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2 2 2" xfId="16051" xr:uid="{228C1AB9-5D9A-49DC-B609-AD29D47E9E51}"/>
    <cellStyle name="40% - Accent5 6 2 3" xfId="11838" xr:uid="{24CC61C9-5FDB-4661-900D-9B1344ABFBBC}"/>
    <cellStyle name="40% - Accent5 6 3" xfId="5411" xr:uid="{00000000-0005-0000-0000-0000D5060000}"/>
    <cellStyle name="40% - Accent5 6 3 2" xfId="13906" xr:uid="{200E0570-CD33-4AB5-B930-08387C47B2A3}"/>
    <cellStyle name="40% - Accent5 6 4" xfId="9693" xr:uid="{8A9C692F-170F-4BDD-8058-FD90E1D5210C}"/>
    <cellStyle name="40% - Accent5 7" xfId="1517" xr:uid="{00000000-0005-0000-0000-0000D6060000}"/>
    <cellStyle name="40% - Accent5 7 2" xfId="3747" xr:uid="{00000000-0005-0000-0000-0000D7060000}"/>
    <cellStyle name="40% - Accent5 7 2 2" xfId="7969" xr:uid="{00000000-0005-0000-0000-0000D8060000}"/>
    <cellStyle name="40% - Accent5 7 2 2 2" xfId="16464" xr:uid="{4C6E0EC7-45C8-44B2-915D-F13ADC2B1E42}"/>
    <cellStyle name="40% - Accent5 7 2 3" xfId="12251" xr:uid="{8E001C28-B170-4911-A183-972DED9B9196}"/>
    <cellStyle name="40% - Accent5 7 3" xfId="5824" xr:uid="{00000000-0005-0000-0000-0000D9060000}"/>
    <cellStyle name="40% - Accent5 7 3 2" xfId="14319" xr:uid="{8A5E6A18-F9D5-46AB-986A-031BE1C8D188}"/>
    <cellStyle name="40% - Accent5 7 4" xfId="10106" xr:uid="{50A11F58-3050-4C21-9368-750A8B8ED32F}"/>
    <cellStyle name="40% - Accent5 8" xfId="1931" xr:uid="{00000000-0005-0000-0000-0000DA060000}"/>
    <cellStyle name="40% - Accent5 8 2" xfId="4160" xr:uid="{00000000-0005-0000-0000-0000DB060000}"/>
    <cellStyle name="40% - Accent5 8 2 2" xfId="8382" xr:uid="{00000000-0005-0000-0000-0000DC060000}"/>
    <cellStyle name="40% - Accent5 8 2 2 2" xfId="16877" xr:uid="{EE3088C7-E209-41E9-BF3C-A4EADA3CDFB8}"/>
    <cellStyle name="40% - Accent5 8 2 3" xfId="12664" xr:uid="{4B1F54AF-55E4-48C4-8D9C-E0BC9A11D8E8}"/>
    <cellStyle name="40% - Accent5 8 3" xfId="6237" xr:uid="{00000000-0005-0000-0000-0000DD060000}"/>
    <cellStyle name="40% - Accent5 8 3 2" xfId="14732" xr:uid="{EBE472EA-FAAE-4752-B190-685C33EDE89B}"/>
    <cellStyle name="40% - Accent5 8 4" xfId="10519" xr:uid="{78C0A657-82CD-4ED2-A606-6C40740CECBB}"/>
    <cellStyle name="40% - Accent5 9" xfId="2344" xr:uid="{00000000-0005-0000-0000-0000DE060000}"/>
    <cellStyle name="40% - Accent5 9 2" xfId="6650" xr:uid="{00000000-0005-0000-0000-0000DF060000}"/>
    <cellStyle name="40% - Accent5 9 2 2" xfId="15145" xr:uid="{B888B10C-FD1C-4854-B941-A4C686AEAC3E}"/>
    <cellStyle name="40% - Accent5 9 3" xfId="10932" xr:uid="{C647ED2C-3D33-44AB-8218-42E891CC9616}"/>
    <cellStyle name="40% - Accent6" xfId="89" builtinId="51" customBuiltin="1"/>
    <cellStyle name="40% - Accent6 10" xfId="4592" xr:uid="{00000000-0005-0000-0000-0000E1060000}"/>
    <cellStyle name="40% - Accent6 10 2" xfId="13088" xr:uid="{14BC3198-69BA-4AA7-8584-3E083073423A}"/>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49" xr:uid="{6D4B461A-614E-4DE0-8FEF-3ACED98787E9}"/>
    <cellStyle name="40% - Accent6 2 2 2 2 2 3" xfId="11436" xr:uid="{8D29920C-59CD-40E8-98C9-235608208A2C}"/>
    <cellStyle name="40% - Accent6 2 2 2 2 3" xfId="5009" xr:uid="{00000000-0005-0000-0000-0000E8060000}"/>
    <cellStyle name="40% - Accent6 2 2 2 2 3 2" xfId="13504" xr:uid="{6BF07F3D-7A9F-406E-9C53-5A77DEC3B166}"/>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62" xr:uid="{5FAF2CC6-8EC6-49AF-8B0F-5E83606DF57E}"/>
    <cellStyle name="40% - Accent6 2 2 2 3 2 3" xfId="11849" xr:uid="{C52DF017-9C64-473D-8A48-BB36907E43DB}"/>
    <cellStyle name="40% - Accent6 2 2 2 3 3" xfId="5422" xr:uid="{00000000-0005-0000-0000-0000EC060000}"/>
    <cellStyle name="40% - Accent6 2 2 2 3 3 2" xfId="13917" xr:uid="{5B38B9CD-8FC3-49AF-A7CD-B9B9EE2233CA}"/>
    <cellStyle name="40% - Accent6 2 2 2 3 4" xfId="9704" xr:uid="{D42FBF15-AA82-4E70-B62A-44D5943D3FC4}"/>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75" xr:uid="{CDA7AE48-3493-4EDA-8FA2-D9B26338A946}"/>
    <cellStyle name="40% - Accent6 2 2 2 4 2 3" xfId="12262" xr:uid="{790620A6-9223-4075-AF1D-FED4D926B872}"/>
    <cellStyle name="40% - Accent6 2 2 2 4 3" xfId="5835" xr:uid="{00000000-0005-0000-0000-0000F0060000}"/>
    <cellStyle name="40% - Accent6 2 2 2 4 3 2" xfId="14330" xr:uid="{765235D2-71E1-4733-8B01-BA3AC50857CC}"/>
    <cellStyle name="40% - Accent6 2 2 2 4 4" xfId="10117" xr:uid="{D65152AA-B3C7-4921-A088-1F17C6EB39C6}"/>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88" xr:uid="{30D862C9-B88C-443B-ACD6-BCD20FB62408}"/>
    <cellStyle name="40% - Accent6 2 2 2 5 2 3" xfId="12675" xr:uid="{676A7FC5-F554-4C70-B647-4873973C2D69}"/>
    <cellStyle name="40% - Accent6 2 2 2 5 3" xfId="6248" xr:uid="{00000000-0005-0000-0000-0000F4060000}"/>
    <cellStyle name="40% - Accent6 2 2 2 5 3 2" xfId="14743" xr:uid="{03D83EA9-692A-499E-BC23-6DD29B9FA45F}"/>
    <cellStyle name="40% - Accent6 2 2 2 5 4" xfId="10530" xr:uid="{233CC9C6-ABFF-475F-A7A1-CB015C1067AB}"/>
    <cellStyle name="40% - Accent6 2 2 2 6" xfId="2355" xr:uid="{00000000-0005-0000-0000-0000F5060000}"/>
    <cellStyle name="40% - Accent6 2 2 2 6 2" xfId="6661" xr:uid="{00000000-0005-0000-0000-0000F6060000}"/>
    <cellStyle name="40% - Accent6 2 2 2 6 2 2" xfId="15156" xr:uid="{BDE840DA-D69D-4E20-B147-7C5C1BC02E89}"/>
    <cellStyle name="40% - Accent6 2 2 2 6 3" xfId="10943" xr:uid="{2951511E-147C-4EB7-932E-BC256A0DEA15}"/>
    <cellStyle name="40% - Accent6 2 2 2 7" xfId="4595" xr:uid="{00000000-0005-0000-0000-0000F7060000}"/>
    <cellStyle name="40% - Accent6 2 2 2 7 2" xfId="13091" xr:uid="{D806CCEC-C100-4C88-BA3F-EB53930ECFC2}"/>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48" xr:uid="{BCC4F047-0B78-4C42-9F7B-66591468C187}"/>
    <cellStyle name="40% - Accent6 2 2 3 2 3" xfId="11435" xr:uid="{EC44C80C-DDA2-47DB-ADE1-F233AA463960}"/>
    <cellStyle name="40% - Accent6 2 2 3 3" xfId="5008" xr:uid="{00000000-0005-0000-0000-0000FB060000}"/>
    <cellStyle name="40% - Accent6 2 2 3 3 2" xfId="13503" xr:uid="{BDDEA67C-5B96-4588-A837-3459252C5F79}"/>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61" xr:uid="{BAF528CE-2A69-4637-848C-A57C28F14174}"/>
    <cellStyle name="40% - Accent6 2 2 4 2 3" xfId="11848" xr:uid="{BD1FCA15-A5FD-4A85-AC8D-D01E8C2CF245}"/>
    <cellStyle name="40% - Accent6 2 2 4 3" xfId="5421" xr:uid="{00000000-0005-0000-0000-0000FF060000}"/>
    <cellStyle name="40% - Accent6 2 2 4 3 2" xfId="13916" xr:uid="{CBC16D15-48A3-4FE8-A950-2CE031A88023}"/>
    <cellStyle name="40% - Accent6 2 2 4 4" xfId="9703" xr:uid="{C4967F83-4D38-4C9D-82B1-81E588C74F79}"/>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74" xr:uid="{5EDD3012-FE56-4293-AF56-6141BD50BEB8}"/>
    <cellStyle name="40% - Accent6 2 2 5 2 3" xfId="12261" xr:uid="{DDC946DD-F3E1-42C5-89CB-404F928162CC}"/>
    <cellStyle name="40% - Accent6 2 2 5 3" xfId="5834" xr:uid="{00000000-0005-0000-0000-000003070000}"/>
    <cellStyle name="40% - Accent6 2 2 5 3 2" xfId="14329" xr:uid="{E0741479-6A9A-4020-A01F-D7DAE52B19C4}"/>
    <cellStyle name="40% - Accent6 2 2 5 4" xfId="10116" xr:uid="{FE419A8C-A276-4136-A4F4-4388494D208F}"/>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87" xr:uid="{C967B00A-31FF-4706-8B98-2E423BC5D6AC}"/>
    <cellStyle name="40% - Accent6 2 2 6 2 3" xfId="12674" xr:uid="{7D915DE0-4665-4FC3-9CF8-533CA6151C2A}"/>
    <cellStyle name="40% - Accent6 2 2 6 3" xfId="6247" xr:uid="{00000000-0005-0000-0000-000007070000}"/>
    <cellStyle name="40% - Accent6 2 2 6 3 2" xfId="14742" xr:uid="{33E55FAA-BAAD-4E66-9E97-6771B3F2EDE5}"/>
    <cellStyle name="40% - Accent6 2 2 6 4" xfId="10529" xr:uid="{B1046CF2-4475-40BD-BFE3-31E02E1C5C1F}"/>
    <cellStyle name="40% - Accent6 2 2 7" xfId="2354" xr:uid="{00000000-0005-0000-0000-000008070000}"/>
    <cellStyle name="40% - Accent6 2 2 7 2" xfId="6660" xr:uid="{00000000-0005-0000-0000-000009070000}"/>
    <cellStyle name="40% - Accent6 2 2 7 2 2" xfId="15155" xr:uid="{5FAA3BFE-08BE-4424-8456-92AF304090D7}"/>
    <cellStyle name="40% - Accent6 2 2 7 3" xfId="10942" xr:uid="{E29CFEDA-6CE4-480A-9438-E20E77018548}"/>
    <cellStyle name="40% - Accent6 2 2 8" xfId="4594" xr:uid="{00000000-0005-0000-0000-00000A070000}"/>
    <cellStyle name="40% - Accent6 2 2 8 2" xfId="13090" xr:uid="{0ECED269-05DA-4FB8-B529-B0CD9CBF22E1}"/>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50" xr:uid="{8B201257-925F-49AB-A212-66EB0DC5DF83}"/>
    <cellStyle name="40% - Accent6 2 3 2 2 3" xfId="11437" xr:uid="{9B89DF4B-4F49-43B6-B56B-3062265CA965}"/>
    <cellStyle name="40% - Accent6 2 3 2 3" xfId="5010" xr:uid="{00000000-0005-0000-0000-00000F070000}"/>
    <cellStyle name="40% - Accent6 2 3 2 3 2" xfId="13505" xr:uid="{3F68E1D2-6A39-4B84-AD16-B5A49E5F4B5C}"/>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63" xr:uid="{0C85638A-E475-4CBC-ACE4-638BF50FCBB9}"/>
    <cellStyle name="40% - Accent6 2 3 3 2 3" xfId="11850" xr:uid="{BC972983-92B8-4134-B7D2-D5928B11E899}"/>
    <cellStyle name="40% - Accent6 2 3 3 3" xfId="5423" xr:uid="{00000000-0005-0000-0000-000013070000}"/>
    <cellStyle name="40% - Accent6 2 3 3 3 2" xfId="13918" xr:uid="{6D92C4CF-E05D-44C7-A255-6547D4792331}"/>
    <cellStyle name="40% - Accent6 2 3 3 4" xfId="9705" xr:uid="{FDEF6250-5A92-438A-85DF-0B8D0C2F633F}"/>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76" xr:uid="{3225D126-556B-48D3-BB26-2050C0B81B1A}"/>
    <cellStyle name="40% - Accent6 2 3 4 2 3" xfId="12263" xr:uid="{3F947B7D-9460-49EE-9367-1A12E4591E60}"/>
    <cellStyle name="40% - Accent6 2 3 4 3" xfId="5836" xr:uid="{00000000-0005-0000-0000-000017070000}"/>
    <cellStyle name="40% - Accent6 2 3 4 3 2" xfId="14331" xr:uid="{6DE7A70E-68EC-4D78-864E-5853DE382096}"/>
    <cellStyle name="40% - Accent6 2 3 4 4" xfId="10118" xr:uid="{20B08CE3-D8FE-4D43-BFA7-0E4E2AB08E27}"/>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89" xr:uid="{EEC26FC6-F0F2-4DC7-AFD4-19CE817B9A86}"/>
    <cellStyle name="40% - Accent6 2 3 5 2 3" xfId="12676" xr:uid="{F0476CBD-741A-4EED-88C0-874A60E0D45C}"/>
    <cellStyle name="40% - Accent6 2 3 5 3" xfId="6249" xr:uid="{00000000-0005-0000-0000-00001B070000}"/>
    <cellStyle name="40% - Accent6 2 3 5 3 2" xfId="14744" xr:uid="{BC90FC4B-1005-4E02-A670-E391E0461C9C}"/>
    <cellStyle name="40% - Accent6 2 3 5 4" xfId="10531" xr:uid="{5B5B3CE0-D564-4B18-91CA-28F9AAF61D7D}"/>
    <cellStyle name="40% - Accent6 2 3 6" xfId="2356" xr:uid="{00000000-0005-0000-0000-00001C070000}"/>
    <cellStyle name="40% - Accent6 2 3 6 2" xfId="6662" xr:uid="{00000000-0005-0000-0000-00001D070000}"/>
    <cellStyle name="40% - Accent6 2 3 6 2 2" xfId="15157" xr:uid="{7CA9AD68-59AF-4A82-B453-7437B3F6EB71}"/>
    <cellStyle name="40% - Accent6 2 3 6 3" xfId="10944" xr:uid="{5DB18AA6-F9C0-4224-8D32-E6357D4B98DA}"/>
    <cellStyle name="40% - Accent6 2 3 7" xfId="4596" xr:uid="{00000000-0005-0000-0000-00001E070000}"/>
    <cellStyle name="40% - Accent6 2 3 7 2" xfId="13092" xr:uid="{5B9867B5-E043-4D8D-A1FC-B2734708E8BB}"/>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47" xr:uid="{9B31BF9A-7850-42F9-9EE8-879AEE45875B}"/>
    <cellStyle name="40% - Accent6 2 4 2 3" xfId="11434" xr:uid="{50800553-6A6F-454C-9020-661082AAE9C0}"/>
    <cellStyle name="40% - Accent6 2 4 3" xfId="5007" xr:uid="{00000000-0005-0000-0000-000022070000}"/>
    <cellStyle name="40% - Accent6 2 4 3 2" xfId="13502" xr:uid="{0329167B-081D-4C8D-8CCA-92E97BF42DF1}"/>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60" xr:uid="{FCCCD629-1359-41B3-9570-2BD60EDE41F0}"/>
    <cellStyle name="40% - Accent6 2 5 2 3" xfId="11847" xr:uid="{FF179FEF-C118-4803-BB99-352B6D6C915D}"/>
    <cellStyle name="40% - Accent6 2 5 3" xfId="5420" xr:uid="{00000000-0005-0000-0000-000026070000}"/>
    <cellStyle name="40% - Accent6 2 5 3 2" xfId="13915" xr:uid="{33789F0F-318B-42AD-8B0E-97B4F8F86195}"/>
    <cellStyle name="40% - Accent6 2 5 4" xfId="9702" xr:uid="{C756BBDD-3293-4CC7-91E7-2FDC4D34AF70}"/>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73" xr:uid="{FA2E5DE9-7404-4BB0-99AB-D85B305995D8}"/>
    <cellStyle name="40% - Accent6 2 6 2 3" xfId="12260" xr:uid="{69BBAEB3-9FEF-4FB7-9E20-25932A60D371}"/>
    <cellStyle name="40% - Accent6 2 6 3" xfId="5833" xr:uid="{00000000-0005-0000-0000-00002A070000}"/>
    <cellStyle name="40% - Accent6 2 6 3 2" xfId="14328" xr:uid="{8F2683E6-B8B3-4600-893E-6BCAE0931908}"/>
    <cellStyle name="40% - Accent6 2 6 4" xfId="10115" xr:uid="{C864905C-5C50-4916-B6FF-A9388E839537}"/>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86" xr:uid="{95B9922F-CA78-4003-9D77-253887A93AE5}"/>
    <cellStyle name="40% - Accent6 2 7 2 3" xfId="12673" xr:uid="{11C663B8-846F-408A-B93B-9700D27A5188}"/>
    <cellStyle name="40% - Accent6 2 7 3" xfId="6246" xr:uid="{00000000-0005-0000-0000-00002E070000}"/>
    <cellStyle name="40% - Accent6 2 7 3 2" xfId="14741" xr:uid="{6E539A2A-36F5-4ED3-8DCE-6489C39BBD41}"/>
    <cellStyle name="40% - Accent6 2 7 4" xfId="10528" xr:uid="{63015750-DB8E-4C8E-A0B6-34A0CF3CB41A}"/>
    <cellStyle name="40% - Accent6 2 8" xfId="2353" xr:uid="{00000000-0005-0000-0000-00002F070000}"/>
    <cellStyle name="40% - Accent6 2 8 2" xfId="6659" xr:uid="{00000000-0005-0000-0000-000030070000}"/>
    <cellStyle name="40% - Accent6 2 8 2 2" xfId="15154" xr:uid="{E3627E86-D4AE-4C99-B435-9EA29FA5168D}"/>
    <cellStyle name="40% - Accent6 2 8 3" xfId="10941" xr:uid="{FB0A120E-B23D-4E29-985A-CAD52FAFC9E2}"/>
    <cellStyle name="40% - Accent6 2 9" xfId="4593" xr:uid="{00000000-0005-0000-0000-000031070000}"/>
    <cellStyle name="40% - Accent6 2 9 2" xfId="13089" xr:uid="{F39549DE-EF22-4BB3-A280-B0836B117E29}"/>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52" xr:uid="{3DFE369C-A5EC-474C-B66E-921DC2964DEC}"/>
    <cellStyle name="40% - Accent6 3 2 2 2 3" xfId="11439" xr:uid="{CA3EA0B7-DF19-48AC-A15E-4A5D669B54FB}"/>
    <cellStyle name="40% - Accent6 3 2 2 3" xfId="5012" xr:uid="{00000000-0005-0000-0000-000037070000}"/>
    <cellStyle name="40% - Accent6 3 2 2 3 2" xfId="13507" xr:uid="{D06188D6-0E22-44AC-B9DF-D0698CF00FB4}"/>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65" xr:uid="{75B1A896-51F8-46BB-A7C9-ECC963B595C2}"/>
    <cellStyle name="40% - Accent6 3 2 3 2 3" xfId="11852" xr:uid="{BCBD8DAE-CF5A-4D96-A801-413389E2E990}"/>
    <cellStyle name="40% - Accent6 3 2 3 3" xfId="5425" xr:uid="{00000000-0005-0000-0000-00003B070000}"/>
    <cellStyle name="40% - Accent6 3 2 3 3 2" xfId="13920" xr:uid="{848DE366-C286-4601-885A-3A19183092E3}"/>
    <cellStyle name="40% - Accent6 3 2 3 4" xfId="9707" xr:uid="{1FA3543A-0EF0-4C40-A17D-818794A7832D}"/>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78" xr:uid="{E4E5A183-E604-4DC8-9839-985C70894582}"/>
    <cellStyle name="40% - Accent6 3 2 4 2 3" xfId="12265" xr:uid="{FDDE75CB-F692-4DC0-A618-CAEC6F3385BA}"/>
    <cellStyle name="40% - Accent6 3 2 4 3" xfId="5838" xr:uid="{00000000-0005-0000-0000-00003F070000}"/>
    <cellStyle name="40% - Accent6 3 2 4 3 2" xfId="14333" xr:uid="{DDAC0C2E-8C46-4ABE-849C-F489B5DE54A3}"/>
    <cellStyle name="40% - Accent6 3 2 4 4" xfId="10120" xr:uid="{003EF179-51F0-413E-8AC7-990BDBD7C194}"/>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91" xr:uid="{5CAF67EE-B2D8-4348-89E5-D7F4C413C8A8}"/>
    <cellStyle name="40% - Accent6 3 2 5 2 3" xfId="12678" xr:uid="{351210D1-5966-49F1-BCEA-4D1C0D57879C}"/>
    <cellStyle name="40% - Accent6 3 2 5 3" xfId="6251" xr:uid="{00000000-0005-0000-0000-000043070000}"/>
    <cellStyle name="40% - Accent6 3 2 5 3 2" xfId="14746" xr:uid="{420BB5D3-D94F-4217-9A78-73E042B49F15}"/>
    <cellStyle name="40% - Accent6 3 2 5 4" xfId="10533" xr:uid="{F0E60960-23E1-4FC4-B917-F286BD6981EB}"/>
    <cellStyle name="40% - Accent6 3 2 6" xfId="2358" xr:uid="{00000000-0005-0000-0000-000044070000}"/>
    <cellStyle name="40% - Accent6 3 2 6 2" xfId="6664" xr:uid="{00000000-0005-0000-0000-000045070000}"/>
    <cellStyle name="40% - Accent6 3 2 6 2 2" xfId="15159" xr:uid="{3116A0CA-D195-4B0C-8344-83483AAFEF02}"/>
    <cellStyle name="40% - Accent6 3 2 6 3" xfId="10946" xr:uid="{F79D8794-246A-4499-B272-20324E592E3C}"/>
    <cellStyle name="40% - Accent6 3 2 7" xfId="4598" xr:uid="{00000000-0005-0000-0000-000046070000}"/>
    <cellStyle name="40% - Accent6 3 2 7 2" xfId="13094" xr:uid="{867C667E-C7D8-4904-A8F6-5427FBF80C66}"/>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51" xr:uid="{562A4BAE-FC8A-4786-9BCC-8690A29ACED0}"/>
    <cellStyle name="40% - Accent6 3 3 2 3" xfId="11438" xr:uid="{08EA2869-BAED-4868-A8FB-152609268395}"/>
    <cellStyle name="40% - Accent6 3 3 3" xfId="5011" xr:uid="{00000000-0005-0000-0000-00004A070000}"/>
    <cellStyle name="40% - Accent6 3 3 3 2" xfId="13506" xr:uid="{565E6192-8602-4B35-A11A-8EE84484035F}"/>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64" xr:uid="{C3EFA84E-B679-4466-8B39-CB2239CF6CED}"/>
    <cellStyle name="40% - Accent6 3 4 2 3" xfId="11851" xr:uid="{5D60CADC-1D4C-495A-ADA2-62502CEE04B5}"/>
    <cellStyle name="40% - Accent6 3 4 3" xfId="5424" xr:uid="{00000000-0005-0000-0000-00004E070000}"/>
    <cellStyle name="40% - Accent6 3 4 3 2" xfId="13919" xr:uid="{548DE2C9-7AAE-48CC-BDED-A3F183DFE84C}"/>
    <cellStyle name="40% - Accent6 3 4 4" xfId="9706" xr:uid="{EC4EEB70-4C16-41FA-846E-7575B1FD4B24}"/>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77" xr:uid="{6295BBA1-331B-4535-9444-015BD89F29D1}"/>
    <cellStyle name="40% - Accent6 3 5 2 3" xfId="12264" xr:uid="{AA6B661D-4C55-45F4-9359-B1E29E47B2FF}"/>
    <cellStyle name="40% - Accent6 3 5 3" xfId="5837" xr:uid="{00000000-0005-0000-0000-000052070000}"/>
    <cellStyle name="40% - Accent6 3 5 3 2" xfId="14332" xr:uid="{74F799D7-0329-408B-833B-81F81EA279C4}"/>
    <cellStyle name="40% - Accent6 3 5 4" xfId="10119" xr:uid="{AA1AE9A6-C04E-4106-A1CD-A180771C28B1}"/>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90" xr:uid="{0A5EA007-987E-460D-BC63-FD86D0EDB1EA}"/>
    <cellStyle name="40% - Accent6 3 6 2 3" xfId="12677" xr:uid="{A295C020-FDED-445A-BAD0-775EA92D4B5E}"/>
    <cellStyle name="40% - Accent6 3 6 3" xfId="6250" xr:uid="{00000000-0005-0000-0000-000056070000}"/>
    <cellStyle name="40% - Accent6 3 6 3 2" xfId="14745" xr:uid="{6DB8DF1B-E1A2-4053-A73A-7B9E7A91636C}"/>
    <cellStyle name="40% - Accent6 3 6 4" xfId="10532" xr:uid="{1B97595E-F583-4F28-B7D2-7EAB63B6C0E2}"/>
    <cellStyle name="40% - Accent6 3 7" xfId="2357" xr:uid="{00000000-0005-0000-0000-000057070000}"/>
    <cellStyle name="40% - Accent6 3 7 2" xfId="6663" xr:uid="{00000000-0005-0000-0000-000058070000}"/>
    <cellStyle name="40% - Accent6 3 7 2 2" xfId="15158" xr:uid="{6C3E2BE6-DED4-488C-92EC-0BC1E6CA748F}"/>
    <cellStyle name="40% - Accent6 3 7 3" xfId="10945" xr:uid="{72250E5F-62A4-42EA-9FE8-CE2669BD1365}"/>
    <cellStyle name="40% - Accent6 3 8" xfId="4597" xr:uid="{00000000-0005-0000-0000-000059070000}"/>
    <cellStyle name="40% - Accent6 3 8 2" xfId="13093" xr:uid="{7480CDE3-9B1F-485A-9D0E-90AD9E40B508}"/>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53" xr:uid="{9609A392-BDA7-4DB5-9811-FCE3291FC5EC}"/>
    <cellStyle name="40% - Accent6 4 2 2 3" xfId="11440" xr:uid="{29909C23-C01F-4FF0-8EBD-B3ADA7D40BFC}"/>
    <cellStyle name="40% - Accent6 4 2 3" xfId="5013" xr:uid="{00000000-0005-0000-0000-00005E070000}"/>
    <cellStyle name="40% - Accent6 4 2 3 2" xfId="13508" xr:uid="{E8D31A52-1DEB-4A0A-8827-65156D88B413}"/>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66" xr:uid="{F8E1DFE1-7560-4CD4-9C3F-266D962C239A}"/>
    <cellStyle name="40% - Accent6 4 3 2 3" xfId="11853" xr:uid="{36C5915B-7780-4A4B-A98C-49954E861B2D}"/>
    <cellStyle name="40% - Accent6 4 3 3" xfId="5426" xr:uid="{00000000-0005-0000-0000-000062070000}"/>
    <cellStyle name="40% - Accent6 4 3 3 2" xfId="13921" xr:uid="{0900E064-1585-467A-AB70-1D42E348B3B5}"/>
    <cellStyle name="40% - Accent6 4 3 4" xfId="9708" xr:uid="{18291414-45AD-4F28-A556-EC387C0E7034}"/>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79" xr:uid="{2CE2E0B6-1047-4A71-93D2-6569BA052112}"/>
    <cellStyle name="40% - Accent6 4 4 2 3" xfId="12266" xr:uid="{79DF3AFF-23FC-4351-B3DB-E5CF68A6079E}"/>
    <cellStyle name="40% - Accent6 4 4 3" xfId="5839" xr:uid="{00000000-0005-0000-0000-000066070000}"/>
    <cellStyle name="40% - Accent6 4 4 3 2" xfId="14334" xr:uid="{8ACF94D6-820E-4EB3-94D0-032D35FB1591}"/>
    <cellStyle name="40% - Accent6 4 4 4" xfId="10121" xr:uid="{9935EF58-1DE5-4A3C-BED6-B1C71E4C923D}"/>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92" xr:uid="{B07C02A9-9949-41FE-9142-7E25BEF51540}"/>
    <cellStyle name="40% - Accent6 4 5 2 3" xfId="12679" xr:uid="{D18A4D62-E11F-4DA6-8E25-6847B65A4771}"/>
    <cellStyle name="40% - Accent6 4 5 3" xfId="6252" xr:uid="{00000000-0005-0000-0000-00006A070000}"/>
    <cellStyle name="40% - Accent6 4 5 3 2" xfId="14747" xr:uid="{FAB9C5E5-F80C-433E-9B69-B5D1C231817C}"/>
    <cellStyle name="40% - Accent6 4 5 4" xfId="10534" xr:uid="{FD401525-F0CC-494A-806E-CA9D50BFADA7}"/>
    <cellStyle name="40% - Accent6 4 6" xfId="2359" xr:uid="{00000000-0005-0000-0000-00006B070000}"/>
    <cellStyle name="40% - Accent6 4 6 2" xfId="6665" xr:uid="{00000000-0005-0000-0000-00006C070000}"/>
    <cellStyle name="40% - Accent6 4 6 2 2" xfId="15160" xr:uid="{AB351C3C-C199-48FF-9B8D-262DF697CC0A}"/>
    <cellStyle name="40% - Accent6 4 6 3" xfId="10947" xr:uid="{A5952D6F-47A1-4C33-B3B5-CF4C3085EE32}"/>
    <cellStyle name="40% - Accent6 4 7" xfId="4599" xr:uid="{00000000-0005-0000-0000-00006D070000}"/>
    <cellStyle name="40% - Accent6 4 7 2" xfId="13095" xr:uid="{7CE15C48-B646-433C-B3C7-CDCD6DA4964B}"/>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2 2 2" xfId="15646" xr:uid="{FA4F3F1F-1DF3-4A58-9DC3-1BE32466D951}"/>
    <cellStyle name="40% - Accent6 5 2 3" xfId="11433" xr:uid="{136D7DA4-CAF0-49DF-9F1F-928F8F237832}"/>
    <cellStyle name="40% - Accent6 5 3" xfId="5006" xr:uid="{00000000-0005-0000-0000-000071070000}"/>
    <cellStyle name="40% - Accent6 5 3 2" xfId="13501" xr:uid="{F03374BD-CBAB-488D-99D7-3B845436220E}"/>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2 2 2" xfId="16059" xr:uid="{E04DED06-61E6-4E70-9BCC-97F3F9EA7909}"/>
    <cellStyle name="40% - Accent6 6 2 3" xfId="11846" xr:uid="{89ADFCC1-40A1-4F27-BC9F-95FE95A7204C}"/>
    <cellStyle name="40% - Accent6 6 3" xfId="5419" xr:uid="{00000000-0005-0000-0000-000075070000}"/>
    <cellStyle name="40% - Accent6 6 3 2" xfId="13914" xr:uid="{292B3538-B918-4655-91C6-07EF5B183479}"/>
    <cellStyle name="40% - Accent6 6 4" xfId="9701" xr:uid="{FEE8ECE4-C501-40F0-A5C9-E46B70139864}"/>
    <cellStyle name="40% - Accent6 7" xfId="1525" xr:uid="{00000000-0005-0000-0000-000076070000}"/>
    <cellStyle name="40% - Accent6 7 2" xfId="3755" xr:uid="{00000000-0005-0000-0000-000077070000}"/>
    <cellStyle name="40% - Accent6 7 2 2" xfId="7977" xr:uid="{00000000-0005-0000-0000-000078070000}"/>
    <cellStyle name="40% - Accent6 7 2 2 2" xfId="16472" xr:uid="{AF948FF1-309B-446B-B40C-4E7C55AC90F8}"/>
    <cellStyle name="40% - Accent6 7 2 3" xfId="12259" xr:uid="{8E1F149B-A467-45F6-867E-CA1D3006D968}"/>
    <cellStyle name="40% - Accent6 7 3" xfId="5832" xr:uid="{00000000-0005-0000-0000-000079070000}"/>
    <cellStyle name="40% - Accent6 7 3 2" xfId="14327" xr:uid="{3E5CB98A-9441-49DC-9AF2-1A551525B923}"/>
    <cellStyle name="40% - Accent6 7 4" xfId="10114" xr:uid="{A92BC83A-94D2-47D1-96EE-095EF48EAA36}"/>
    <cellStyle name="40% - Accent6 8" xfId="1939" xr:uid="{00000000-0005-0000-0000-00007A070000}"/>
    <cellStyle name="40% - Accent6 8 2" xfId="4168" xr:uid="{00000000-0005-0000-0000-00007B070000}"/>
    <cellStyle name="40% - Accent6 8 2 2" xfId="8390" xr:uid="{00000000-0005-0000-0000-00007C070000}"/>
    <cellStyle name="40% - Accent6 8 2 2 2" xfId="16885" xr:uid="{05EE7346-233F-4310-92E2-254FB34F2A01}"/>
    <cellStyle name="40% - Accent6 8 2 3" xfId="12672" xr:uid="{C41DBC3C-2DCE-434E-A166-6D14EE76C488}"/>
    <cellStyle name="40% - Accent6 8 3" xfId="6245" xr:uid="{00000000-0005-0000-0000-00007D070000}"/>
    <cellStyle name="40% - Accent6 8 3 2" xfId="14740" xr:uid="{12F61764-F6E6-48FC-A0E6-24E5924B36B2}"/>
    <cellStyle name="40% - Accent6 8 4" xfId="10527" xr:uid="{70A952A5-A8EB-4788-87A0-CFAB4AA5D0BA}"/>
    <cellStyle name="40% - Accent6 9" xfId="2352" xr:uid="{00000000-0005-0000-0000-00007E070000}"/>
    <cellStyle name="40% - Accent6 9 2" xfId="6658" xr:uid="{00000000-0005-0000-0000-00007F070000}"/>
    <cellStyle name="40% - Accent6 9 2 2" xfId="15153" xr:uid="{9EFBECA9-1453-41DF-8CE6-E12B35CC1EF7}"/>
    <cellStyle name="40% - Accent6 9 3" xfId="10940" xr:uid="{758A0929-73C6-4EBA-8BA6-0DBB207ACC94}"/>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78" xr:uid="{C3DA8620-88E2-49F8-928A-C4CB9598231E}"/>
    <cellStyle name="Comma 4 2 2 2 10 3" xfId="11265" xr:uid="{2B753C86-7D48-4D2C-90B7-6B595FD60F5C}"/>
    <cellStyle name="Comma 4 2 2 2 11" xfId="4600" xr:uid="{00000000-0005-0000-0000-0000A3070000}"/>
    <cellStyle name="Comma 4 2 2 2 11 2" xfId="13096" xr:uid="{5948C6D2-85A9-4E97-B73D-37AD49D6A23B}"/>
    <cellStyle name="Comma 4 2 2 2 12" xfId="8806" xr:uid="{6C773D0B-D2E3-4A8C-B041-8DA2843B9E25}"/>
    <cellStyle name="Comma 4 2 2 2 2" xfId="129" xr:uid="{00000000-0005-0000-0000-0000A4070000}"/>
    <cellStyle name="Comma 4 2 2 2 2 10" xfId="4601" xr:uid="{00000000-0005-0000-0000-0000A5070000}"/>
    <cellStyle name="Comma 4 2 2 2 2 10 2" xfId="13097" xr:uid="{77FE303F-6411-45EA-92CF-47D2235B2B23}"/>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56" xr:uid="{A1843104-1BCB-4CD4-BDDC-05A90D90E8AC}"/>
    <cellStyle name="Comma 4 2 2 2 2 2 2 2 3" xfId="11443" xr:uid="{CC8E5AAC-79AB-4A27-9A88-C87FABC689DB}"/>
    <cellStyle name="Comma 4 2 2 2 2 2 2 3" xfId="5016" xr:uid="{00000000-0005-0000-0000-0000AA070000}"/>
    <cellStyle name="Comma 4 2 2 2 2 2 2 3 2" xfId="13511" xr:uid="{D250D0FB-86E3-4AC7-AE6E-4C9B84AD311A}"/>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69" xr:uid="{4DABDB41-988D-4078-80ED-DA72922B7295}"/>
    <cellStyle name="Comma 4 2 2 2 2 2 3 2 3" xfId="11856" xr:uid="{2AABCF17-6A1F-4A23-BAEF-1E8089D4E239}"/>
    <cellStyle name="Comma 4 2 2 2 2 2 3 3" xfId="5429" xr:uid="{00000000-0005-0000-0000-0000AE070000}"/>
    <cellStyle name="Comma 4 2 2 2 2 2 3 3 2" xfId="13924" xr:uid="{353B1A14-4EA3-4BD0-B28F-4E63470AF200}"/>
    <cellStyle name="Comma 4 2 2 2 2 2 3 4" xfId="9711" xr:uid="{C08688D6-9731-4992-9C79-D98475995893}"/>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82" xr:uid="{C528A652-B249-48C3-B86B-E9BC820703AF}"/>
    <cellStyle name="Comma 4 2 2 2 2 2 4 2 3" xfId="12269" xr:uid="{48A6FB77-6D37-46DD-A22C-03A3B899F35B}"/>
    <cellStyle name="Comma 4 2 2 2 2 2 4 3" xfId="5842" xr:uid="{00000000-0005-0000-0000-0000B2070000}"/>
    <cellStyle name="Comma 4 2 2 2 2 2 4 3 2" xfId="14337" xr:uid="{01E3B9A1-4165-4346-9C9B-C2B6D434B785}"/>
    <cellStyle name="Comma 4 2 2 2 2 2 4 4" xfId="10124" xr:uid="{1D88A566-E945-41E9-8021-34A8648737C1}"/>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95" xr:uid="{102A2922-6341-4BE2-B95E-B8EA9882C76B}"/>
    <cellStyle name="Comma 4 2 2 2 2 2 5 2 3" xfId="12682" xr:uid="{BB5E5D40-1857-4D12-8029-2AB2F8112CDE}"/>
    <cellStyle name="Comma 4 2 2 2 2 2 5 3" xfId="6255" xr:uid="{00000000-0005-0000-0000-0000B6070000}"/>
    <cellStyle name="Comma 4 2 2 2 2 2 5 3 2" xfId="14750" xr:uid="{91CC0218-4315-4082-8143-79DE86D932C6}"/>
    <cellStyle name="Comma 4 2 2 2 2 2 5 4" xfId="10537" xr:uid="{D99CC52E-320F-4AEB-9F79-3351C871053E}"/>
    <cellStyle name="Comma 4 2 2 2 2 2 6" xfId="2384" xr:uid="{00000000-0005-0000-0000-0000B7070000}"/>
    <cellStyle name="Comma 4 2 2 2 2 2 6 2" xfId="6668" xr:uid="{00000000-0005-0000-0000-0000B8070000}"/>
    <cellStyle name="Comma 4 2 2 2 2 2 6 2 2" xfId="15163" xr:uid="{536123F8-97B1-4A5D-B8D8-D25F9FF2ED70}"/>
    <cellStyle name="Comma 4 2 2 2 2 2 6 3" xfId="10950" xr:uid="{EC983EFE-4993-4D5A-AD22-72A97BCF78BC}"/>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80" xr:uid="{6586A1A8-FD49-40DB-8DCA-F8CE11BBBCF9}"/>
    <cellStyle name="Comma 4 2 2 2 2 2 8 3" xfId="11267" xr:uid="{297D7B42-81D1-4631-B317-57872938051A}"/>
    <cellStyle name="Comma 4 2 2 2 2 2 9" xfId="4602" xr:uid="{00000000-0005-0000-0000-0000BC070000}"/>
    <cellStyle name="Comma 4 2 2 2 2 2 9 2" xfId="13098" xr:uid="{E4115778-D3C0-4FAF-B6B7-A9A4F657202D}"/>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55" xr:uid="{0A4EB636-300D-4A8D-9473-24B592C56BD8}"/>
    <cellStyle name="Comma 4 2 2 2 2 3 2 3" xfId="11442" xr:uid="{7E1A86E1-8081-4759-A56E-D1B630D35810}"/>
    <cellStyle name="Comma 4 2 2 2 2 3 3" xfId="5015" xr:uid="{00000000-0005-0000-0000-0000C0070000}"/>
    <cellStyle name="Comma 4 2 2 2 2 3 3 2" xfId="13510" xr:uid="{FBC5002D-432F-4619-9587-5A1E955FE5DA}"/>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68" xr:uid="{4F445D64-8A33-4C94-B147-3BE64AD7FBC8}"/>
    <cellStyle name="Comma 4 2 2 2 2 4 2 3" xfId="11855" xr:uid="{D93D2C46-FBCD-4D5E-843F-D5705B488F37}"/>
    <cellStyle name="Comma 4 2 2 2 2 4 3" xfId="5428" xr:uid="{00000000-0005-0000-0000-0000C4070000}"/>
    <cellStyle name="Comma 4 2 2 2 2 4 3 2" xfId="13923" xr:uid="{D8C7ABC6-3E39-4A85-BCA7-D2787CCA4FD4}"/>
    <cellStyle name="Comma 4 2 2 2 2 4 4" xfId="9710" xr:uid="{A342DABB-BDE1-435E-AE49-44FCB5E6B135}"/>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81" xr:uid="{27EDC5C1-1B71-4754-9785-0EFA9C2920C7}"/>
    <cellStyle name="Comma 4 2 2 2 2 5 2 3" xfId="12268" xr:uid="{ACA7E1A1-435E-48F5-8ADC-F4892042C213}"/>
    <cellStyle name="Comma 4 2 2 2 2 5 3" xfId="5841" xr:uid="{00000000-0005-0000-0000-0000C8070000}"/>
    <cellStyle name="Comma 4 2 2 2 2 5 3 2" xfId="14336" xr:uid="{EEB422E5-E197-48C0-A9CB-143B57614E5F}"/>
    <cellStyle name="Comma 4 2 2 2 2 5 4" xfId="10123" xr:uid="{DE84F080-5A68-4E98-9629-55BCE091F61D}"/>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94" xr:uid="{5E89891D-3B69-4E09-B7A0-41A4D3F77FA5}"/>
    <cellStyle name="Comma 4 2 2 2 2 6 2 3" xfId="12681" xr:uid="{F3E95BE7-41D2-43F1-B835-0C97B814B229}"/>
    <cellStyle name="Comma 4 2 2 2 2 6 3" xfId="6254" xr:uid="{00000000-0005-0000-0000-0000CC070000}"/>
    <cellStyle name="Comma 4 2 2 2 2 6 3 2" xfId="14749" xr:uid="{B5202C4F-C421-4D16-8B99-C16B42BF57B8}"/>
    <cellStyle name="Comma 4 2 2 2 2 6 4" xfId="10536" xr:uid="{4EB97952-5A91-4391-A0A8-0D1AD4EB5921}"/>
    <cellStyle name="Comma 4 2 2 2 2 7" xfId="2383" xr:uid="{00000000-0005-0000-0000-0000CD070000}"/>
    <cellStyle name="Comma 4 2 2 2 2 7 2" xfId="6667" xr:uid="{00000000-0005-0000-0000-0000CE070000}"/>
    <cellStyle name="Comma 4 2 2 2 2 7 2 2" xfId="15162" xr:uid="{8A130C1E-064F-4623-8471-75BCE98C2A51}"/>
    <cellStyle name="Comma 4 2 2 2 2 7 3" xfId="10949" xr:uid="{339DAB79-BFC4-4446-A716-4407E0B938A7}"/>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79" xr:uid="{A7E4FE63-2107-4C2A-AA22-3889A73C9A6D}"/>
    <cellStyle name="Comma 4 2 2 2 2 9 3" xfId="11266" xr:uid="{7A8BA942-DAF9-4835-8CB5-7FF2193A0267}"/>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57" xr:uid="{2CA765AD-7F07-482A-94EC-957D0BAFB2FB}"/>
    <cellStyle name="Comma 4 2 2 2 3 2 2 3" xfId="11444" xr:uid="{727C30FA-4E36-4433-BBCD-70C813824B2E}"/>
    <cellStyle name="Comma 4 2 2 2 3 2 3" xfId="5017" xr:uid="{00000000-0005-0000-0000-0000D6070000}"/>
    <cellStyle name="Comma 4 2 2 2 3 2 3 2" xfId="13512" xr:uid="{FBC1F070-31C1-4823-8942-D43D83EC3D95}"/>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70" xr:uid="{924A4C67-14E6-4AE9-AE7D-EF83FBA89F11}"/>
    <cellStyle name="Comma 4 2 2 2 3 3 2 3" xfId="11857" xr:uid="{40637973-081F-4C27-9249-58D2D405279D}"/>
    <cellStyle name="Comma 4 2 2 2 3 3 3" xfId="5430" xr:uid="{00000000-0005-0000-0000-0000DA070000}"/>
    <cellStyle name="Comma 4 2 2 2 3 3 3 2" xfId="13925" xr:uid="{2F941F89-7E43-4635-9B37-B340E35BC7EB}"/>
    <cellStyle name="Comma 4 2 2 2 3 3 4" xfId="9712" xr:uid="{DDD16A83-0450-4086-91E2-B6755914F106}"/>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83" xr:uid="{D4ED33CF-D90D-4201-9AF2-2B982FE6BDBD}"/>
    <cellStyle name="Comma 4 2 2 2 3 4 2 3" xfId="12270" xr:uid="{2206B297-7699-42E8-A7A2-140C8BE17E7E}"/>
    <cellStyle name="Comma 4 2 2 2 3 4 3" xfId="5843" xr:uid="{00000000-0005-0000-0000-0000DE070000}"/>
    <cellStyle name="Comma 4 2 2 2 3 4 3 2" xfId="14338" xr:uid="{7227E19C-DD11-4537-85CD-F8AD84750B19}"/>
    <cellStyle name="Comma 4 2 2 2 3 4 4" xfId="10125" xr:uid="{24A5CF73-5280-4610-A825-1285D2403D1F}"/>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96" xr:uid="{F7B315C0-EAC5-4803-8842-7AE1B2B59920}"/>
    <cellStyle name="Comma 4 2 2 2 3 5 2 3" xfId="12683" xr:uid="{8A918B71-49FD-4C4D-8851-A5D8F3A5F12F}"/>
    <cellStyle name="Comma 4 2 2 2 3 5 3" xfId="6256" xr:uid="{00000000-0005-0000-0000-0000E2070000}"/>
    <cellStyle name="Comma 4 2 2 2 3 5 3 2" xfId="14751" xr:uid="{F301ABE4-C86E-418D-B42F-46B137D4CE11}"/>
    <cellStyle name="Comma 4 2 2 2 3 5 4" xfId="10538" xr:uid="{54314140-6B83-4D98-BC50-810832FF5E2E}"/>
    <cellStyle name="Comma 4 2 2 2 3 6" xfId="2385" xr:uid="{00000000-0005-0000-0000-0000E3070000}"/>
    <cellStyle name="Comma 4 2 2 2 3 6 2" xfId="6669" xr:uid="{00000000-0005-0000-0000-0000E4070000}"/>
    <cellStyle name="Comma 4 2 2 2 3 6 2 2" xfId="15164" xr:uid="{25D3FB69-44D6-4CCC-B937-392B3300B1B5}"/>
    <cellStyle name="Comma 4 2 2 2 3 6 3" xfId="10951" xr:uid="{8984C981-CEAE-4E2D-8478-32E0BB0F700C}"/>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81" xr:uid="{7167C61C-FC44-47EE-BDA6-35C499FFDFD5}"/>
    <cellStyle name="Comma 4 2 2 2 3 8 3" xfId="11268" xr:uid="{31501E77-C26E-4CEA-B10E-1EF4D8C4BAA9}"/>
    <cellStyle name="Comma 4 2 2 2 3 9" xfId="4603" xr:uid="{00000000-0005-0000-0000-0000E8070000}"/>
    <cellStyle name="Comma 4 2 2 2 3 9 2" xfId="13099" xr:uid="{84C47772-950B-43E4-9A88-3E3BE8B362E8}"/>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54" xr:uid="{2D4933FB-FA05-49C7-A239-633F0661EA24}"/>
    <cellStyle name="Comma 4 2 2 2 4 2 3" xfId="11441" xr:uid="{96CF5D02-CE98-4648-997E-5C595CEEDC58}"/>
    <cellStyle name="Comma 4 2 2 2 4 3" xfId="5014" xr:uid="{00000000-0005-0000-0000-0000EC070000}"/>
    <cellStyle name="Comma 4 2 2 2 4 3 2" xfId="13509" xr:uid="{34587CE9-B926-4A1E-A65B-BD4460B504E5}"/>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67" xr:uid="{23E155FF-B96D-4176-A7AB-70A9A7DF588D}"/>
    <cellStyle name="Comma 4 2 2 2 5 2 3" xfId="11854" xr:uid="{ED25A307-F7F5-4BC5-87C8-6A742FEEFAEF}"/>
    <cellStyle name="Comma 4 2 2 2 5 3" xfId="5427" xr:uid="{00000000-0005-0000-0000-0000F0070000}"/>
    <cellStyle name="Comma 4 2 2 2 5 3 2" xfId="13922" xr:uid="{BCB0DF95-38CA-4055-9BCC-CB6C9F00BC6C}"/>
    <cellStyle name="Comma 4 2 2 2 5 4" xfId="9709" xr:uid="{AC683CDF-357E-47EF-BEC3-6420B8FA130C}"/>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80" xr:uid="{982A961B-B700-4FC2-ADE7-D3E5FF5CCFAD}"/>
    <cellStyle name="Comma 4 2 2 2 6 2 3" xfId="12267" xr:uid="{134AADBE-DA8D-467C-ACDF-49013B9D1E2E}"/>
    <cellStyle name="Comma 4 2 2 2 6 3" xfId="5840" xr:uid="{00000000-0005-0000-0000-0000F4070000}"/>
    <cellStyle name="Comma 4 2 2 2 6 3 2" xfId="14335" xr:uid="{F5B9D9FE-2B04-43BE-8A57-7A0FAA7F0EB2}"/>
    <cellStyle name="Comma 4 2 2 2 6 4" xfId="10122" xr:uid="{287478A0-37E0-44AC-99F6-5EE391DF1A02}"/>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93" xr:uid="{1CA3AAA1-8B59-4350-88A9-B88030191B0F}"/>
    <cellStyle name="Comma 4 2 2 2 7 2 3" xfId="12680" xr:uid="{2ABEEC88-6397-4B72-89E1-86F0B4AE8C4F}"/>
    <cellStyle name="Comma 4 2 2 2 7 3" xfId="6253" xr:uid="{00000000-0005-0000-0000-0000F8070000}"/>
    <cellStyle name="Comma 4 2 2 2 7 3 2" xfId="14748" xr:uid="{D1CC575E-C411-466B-9C18-F83E03F8A07A}"/>
    <cellStyle name="Comma 4 2 2 2 7 4" xfId="10535" xr:uid="{151C8B00-8C5E-438A-95C4-3958C4B13E21}"/>
    <cellStyle name="Comma 4 2 2 2 8" xfId="2382" xr:uid="{00000000-0005-0000-0000-0000F9070000}"/>
    <cellStyle name="Comma 4 2 2 2 8 2" xfId="6666" xr:uid="{00000000-0005-0000-0000-0000FA070000}"/>
    <cellStyle name="Comma 4 2 2 2 8 2 2" xfId="15161" xr:uid="{BD61B0CA-FC87-492C-B644-2C697611050A}"/>
    <cellStyle name="Comma 4 2 2 2 8 3" xfId="10948" xr:uid="{6AAC6745-40FC-451F-B5DF-E6339A9C0C0A}"/>
    <cellStyle name="Comma 4 2 2 2 9" xfId="2381" xr:uid="{00000000-0005-0000-0000-0000FB070000}"/>
    <cellStyle name="Comma 4 2 2 3" xfId="132" xr:uid="{00000000-0005-0000-0000-0000FC070000}"/>
    <cellStyle name="Comma 4 2 2 3 10" xfId="4604" xr:uid="{00000000-0005-0000-0000-0000FD070000}"/>
    <cellStyle name="Comma 4 2 2 3 10 2" xfId="13100" xr:uid="{704F8188-620E-4C99-9782-6D0812BDD8C9}"/>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59" xr:uid="{E4CC5F21-3A42-4546-B34F-601829F8AEC5}"/>
    <cellStyle name="Comma 4 2 2 3 2 2 2 3" xfId="11446" xr:uid="{4EC6FD6E-FA3C-4DCB-9F35-1749DF73AA64}"/>
    <cellStyle name="Comma 4 2 2 3 2 2 3" xfId="5019" xr:uid="{00000000-0005-0000-0000-000002080000}"/>
    <cellStyle name="Comma 4 2 2 3 2 2 3 2" xfId="13514" xr:uid="{60557A24-E47F-4731-82CE-24410C68232D}"/>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72" xr:uid="{ADFB6BF1-45E2-46B5-BBDD-FDFAEED3C08C}"/>
    <cellStyle name="Comma 4 2 2 3 2 3 2 3" xfId="11859" xr:uid="{0E59790F-AAFF-40CD-B5BA-1CFB6F17D2CC}"/>
    <cellStyle name="Comma 4 2 2 3 2 3 3" xfId="5432" xr:uid="{00000000-0005-0000-0000-000006080000}"/>
    <cellStyle name="Comma 4 2 2 3 2 3 3 2" xfId="13927" xr:uid="{DF669483-D1CD-475D-A2D8-5A9738FF3563}"/>
    <cellStyle name="Comma 4 2 2 3 2 3 4" xfId="9714" xr:uid="{234E1DBC-BC4F-45E3-B48A-6A4D49C0AF01}"/>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85" xr:uid="{A2A04A77-D8EC-4ECF-9CB6-FC4F5C4388C4}"/>
    <cellStyle name="Comma 4 2 2 3 2 4 2 3" xfId="12272" xr:uid="{772A0BE6-684A-4961-B619-BB39D8EF74F0}"/>
    <cellStyle name="Comma 4 2 2 3 2 4 3" xfId="5845" xr:uid="{00000000-0005-0000-0000-00000A080000}"/>
    <cellStyle name="Comma 4 2 2 3 2 4 3 2" xfId="14340" xr:uid="{C5C433AC-A789-4889-BEDF-D6CD2CD23DAE}"/>
    <cellStyle name="Comma 4 2 2 3 2 4 4" xfId="10127" xr:uid="{82F09C28-1526-421E-A040-4B872E3F1647}"/>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98" xr:uid="{B64BFE29-8ED5-449E-A53C-EF6E79FE0960}"/>
    <cellStyle name="Comma 4 2 2 3 2 5 2 3" xfId="12685" xr:uid="{6F9BAA9B-A5E4-4989-8839-D6A9A6BCF8A6}"/>
    <cellStyle name="Comma 4 2 2 3 2 5 3" xfId="6258" xr:uid="{00000000-0005-0000-0000-00000E080000}"/>
    <cellStyle name="Comma 4 2 2 3 2 5 3 2" xfId="14753" xr:uid="{4F9A0296-4EDD-46DC-8053-63F27F52EB2E}"/>
    <cellStyle name="Comma 4 2 2 3 2 5 4" xfId="10540" xr:uid="{EAE023BD-ADA6-462A-8526-56A896FB6278}"/>
    <cellStyle name="Comma 4 2 2 3 2 6" xfId="2387" xr:uid="{00000000-0005-0000-0000-00000F080000}"/>
    <cellStyle name="Comma 4 2 2 3 2 6 2" xfId="6671" xr:uid="{00000000-0005-0000-0000-000010080000}"/>
    <cellStyle name="Comma 4 2 2 3 2 6 2 2" xfId="15166" xr:uid="{7978B906-FF49-4C2A-910F-63FD19C64FD6}"/>
    <cellStyle name="Comma 4 2 2 3 2 6 3" xfId="10953" xr:uid="{73CDCA31-514C-498E-97AA-3BEC27482AD2}"/>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83" xr:uid="{C0D5CD42-21B1-4C9C-8D01-37D422C804D2}"/>
    <cellStyle name="Comma 4 2 2 3 2 8 3" xfId="11270" xr:uid="{7FCFF373-D726-4452-BD61-EA8EB5EDBF6E}"/>
    <cellStyle name="Comma 4 2 2 3 2 9" xfId="4605" xr:uid="{00000000-0005-0000-0000-000014080000}"/>
    <cellStyle name="Comma 4 2 2 3 2 9 2" xfId="13101" xr:uid="{0AA4EA4D-8882-4CE1-A2D0-59A4DB2E3158}"/>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58" xr:uid="{31335ACF-5F44-4758-94E1-7BF5F6EDA4CA}"/>
    <cellStyle name="Comma 4 2 2 3 3 2 3" xfId="11445" xr:uid="{9C21B893-17FA-4ECF-B5E5-8CD2FD228A25}"/>
    <cellStyle name="Comma 4 2 2 3 3 3" xfId="5018" xr:uid="{00000000-0005-0000-0000-000018080000}"/>
    <cellStyle name="Comma 4 2 2 3 3 3 2" xfId="13513" xr:uid="{0A5D5C29-FEF3-42A3-8FFD-09E5E9FA5087}"/>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71" xr:uid="{738943CF-FB23-4C81-841B-EF9EC3FC6F0F}"/>
    <cellStyle name="Comma 4 2 2 3 4 2 3" xfId="11858" xr:uid="{4DB27190-43E6-4526-8D49-26A796A0C71C}"/>
    <cellStyle name="Comma 4 2 2 3 4 3" xfId="5431" xr:uid="{00000000-0005-0000-0000-00001C080000}"/>
    <cellStyle name="Comma 4 2 2 3 4 3 2" xfId="13926" xr:uid="{7E0A6A4D-9130-49F2-82B9-01ABC79B76D4}"/>
    <cellStyle name="Comma 4 2 2 3 4 4" xfId="9713" xr:uid="{A204F562-CD79-4550-8EE1-176340591D4D}"/>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84" xr:uid="{4B5ED142-CF6E-4285-A0EA-853BC6D3EEF8}"/>
    <cellStyle name="Comma 4 2 2 3 5 2 3" xfId="12271" xr:uid="{524DC8FF-4BDF-48C4-ADC3-980F2DA4A3D4}"/>
    <cellStyle name="Comma 4 2 2 3 5 3" xfId="5844" xr:uid="{00000000-0005-0000-0000-000020080000}"/>
    <cellStyle name="Comma 4 2 2 3 5 3 2" xfId="14339" xr:uid="{E7257A78-47AE-4F05-B68F-A25AB332C93B}"/>
    <cellStyle name="Comma 4 2 2 3 5 4" xfId="10126" xr:uid="{4604539A-5332-4817-911F-176552F13ED1}"/>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97" xr:uid="{457C644A-27BD-4A44-9B1C-BF173AB39757}"/>
    <cellStyle name="Comma 4 2 2 3 6 2 3" xfId="12684" xr:uid="{CF492EF7-ECE2-46CB-8EFC-B1CF648BAAB5}"/>
    <cellStyle name="Comma 4 2 2 3 6 3" xfId="6257" xr:uid="{00000000-0005-0000-0000-000024080000}"/>
    <cellStyle name="Comma 4 2 2 3 6 3 2" xfId="14752" xr:uid="{20A598F8-1F28-475A-893C-DE4BE5FD1D15}"/>
    <cellStyle name="Comma 4 2 2 3 6 4" xfId="10539" xr:uid="{E8973696-78B7-42F0-9FB2-E5631150315F}"/>
    <cellStyle name="Comma 4 2 2 3 7" xfId="2386" xr:uid="{00000000-0005-0000-0000-000025080000}"/>
    <cellStyle name="Comma 4 2 2 3 7 2" xfId="6670" xr:uid="{00000000-0005-0000-0000-000026080000}"/>
    <cellStyle name="Comma 4 2 2 3 7 2 2" xfId="15165" xr:uid="{374BC104-7D45-4A77-A102-F95220E59DE9}"/>
    <cellStyle name="Comma 4 2 2 3 7 3" xfId="10952" xr:uid="{0C2D378F-3507-48E7-AB37-40D3D9C53193}"/>
    <cellStyle name="Comma 4 2 2 3 8" xfId="2377" xr:uid="{00000000-0005-0000-0000-000027080000}"/>
    <cellStyle name="Comma 4 2 2 3 9" xfId="2764" xr:uid="{00000000-0005-0000-0000-000028080000}"/>
    <cellStyle name="Comma 4 2 2 3 9 2" xfId="6987" xr:uid="{00000000-0005-0000-0000-000029080000}"/>
    <cellStyle name="Comma 4 2 2 3 9 2 2" xfId="15482" xr:uid="{3937A584-FEF6-4999-AEF1-385608C64129}"/>
    <cellStyle name="Comma 4 2 2 3 9 3" xfId="11269" xr:uid="{859C80FA-126C-4B51-8AF8-541B148D265B}"/>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60" xr:uid="{5A1410EF-8D0C-4919-8CCD-5B43110B146C}"/>
    <cellStyle name="Comma 4 2 2 4 2 2 3" xfId="11447" xr:uid="{16DB5257-4B4E-46D5-8FAA-5C1ADC906250}"/>
    <cellStyle name="Comma 4 2 2 4 2 3" xfId="5020" xr:uid="{00000000-0005-0000-0000-00002E080000}"/>
    <cellStyle name="Comma 4 2 2 4 2 3 2" xfId="13515" xr:uid="{518F0B79-2FCA-4746-8D2E-CF538AAAEDEC}"/>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73" xr:uid="{7322B624-1AFE-41F3-BA37-A1AA73EF1B9B}"/>
    <cellStyle name="Comma 4 2 2 4 3 2 3" xfId="11860" xr:uid="{07D3171E-167C-4B4A-9F26-0C6A3F315904}"/>
    <cellStyle name="Comma 4 2 2 4 3 3" xfId="5433" xr:uid="{00000000-0005-0000-0000-000032080000}"/>
    <cellStyle name="Comma 4 2 2 4 3 3 2" xfId="13928" xr:uid="{113BF3CE-EB9A-4292-A355-5F9F2CC5CB7C}"/>
    <cellStyle name="Comma 4 2 2 4 3 4" xfId="9715" xr:uid="{9C42C26B-2062-4709-89A9-F46C272F579C}"/>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86" xr:uid="{C09D3C9D-2056-4D8F-B7C0-91718B44A5DE}"/>
    <cellStyle name="Comma 4 2 2 4 4 2 3" xfId="12273" xr:uid="{6FF3EA6A-7ED2-4067-A19F-F636F14C945F}"/>
    <cellStyle name="Comma 4 2 2 4 4 3" xfId="5846" xr:uid="{00000000-0005-0000-0000-000036080000}"/>
    <cellStyle name="Comma 4 2 2 4 4 3 2" xfId="14341" xr:uid="{65BA4649-2AB1-44B1-86D2-5B4BF2B6FDA2}"/>
    <cellStyle name="Comma 4 2 2 4 4 4" xfId="10128" xr:uid="{6775B45E-43FE-4AE7-9B6E-24E80B310FAA}"/>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99" xr:uid="{D2260BCC-8064-493F-AE2D-3DD307E92705}"/>
    <cellStyle name="Comma 4 2 2 4 5 2 3" xfId="12686" xr:uid="{F0456B1F-ABB5-4260-83A5-1645CDFDF74D}"/>
    <cellStyle name="Comma 4 2 2 4 5 3" xfId="6259" xr:uid="{00000000-0005-0000-0000-00003A080000}"/>
    <cellStyle name="Comma 4 2 2 4 5 3 2" xfId="14754" xr:uid="{0A610E05-0322-4BFE-915E-A5BD22CE8C69}"/>
    <cellStyle name="Comma 4 2 2 4 5 4" xfId="10541" xr:uid="{94B9FB8F-A622-4B1D-92FA-260F932DB261}"/>
    <cellStyle name="Comma 4 2 2 4 6" xfId="2388" xr:uid="{00000000-0005-0000-0000-00003B080000}"/>
    <cellStyle name="Comma 4 2 2 4 6 2" xfId="6672" xr:uid="{00000000-0005-0000-0000-00003C080000}"/>
    <cellStyle name="Comma 4 2 2 4 6 2 2" xfId="15167" xr:uid="{A342BD5B-E7EF-4083-A559-3350A1A22BB2}"/>
    <cellStyle name="Comma 4 2 2 4 6 3" xfId="10954" xr:uid="{26A148C1-7AAC-4A64-8645-9089C025AC2E}"/>
    <cellStyle name="Comma 4 2 2 4 7" xfId="2375" xr:uid="{00000000-0005-0000-0000-00003D080000}"/>
    <cellStyle name="Comma 4 2 2 4 8" xfId="2766" xr:uid="{00000000-0005-0000-0000-00003E080000}"/>
    <cellStyle name="Comma 4 2 2 4 8 2" xfId="6989" xr:uid="{00000000-0005-0000-0000-00003F080000}"/>
    <cellStyle name="Comma 4 2 2 4 8 2 2" xfId="15484" xr:uid="{37AE7A49-A99C-4C7E-A010-EAE226DC4D1C}"/>
    <cellStyle name="Comma 4 2 2 4 8 3" xfId="11271" xr:uid="{D896C9D7-2C62-4A16-B126-238C4D1D8181}"/>
    <cellStyle name="Comma 4 2 2 4 9" xfId="4606" xr:uid="{00000000-0005-0000-0000-000040080000}"/>
    <cellStyle name="Comma 4 2 2 4 9 2" xfId="13102" xr:uid="{10AC1211-ECEC-4DAB-A876-170FC46E64AA}"/>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61" xr:uid="{033A2C88-AFE3-4B55-89AF-9F87127B30D0}"/>
    <cellStyle name="Comma 4 2 2 5 2 2 3" xfId="11448" xr:uid="{2ED7D180-AE7D-4291-B4D3-EC463B91A241}"/>
    <cellStyle name="Comma 4 2 2 5 2 3" xfId="5021" xr:uid="{00000000-0005-0000-0000-000045080000}"/>
    <cellStyle name="Comma 4 2 2 5 2 3 2" xfId="13516" xr:uid="{8FBFFDB8-4755-4560-BE93-7F3548DF62A2}"/>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74" xr:uid="{6FCBE2AC-7FA5-404E-8F2B-BC88CEF3771B}"/>
    <cellStyle name="Comma 4 2 2 5 3 2 3" xfId="11861" xr:uid="{E68376F8-DEBE-45C2-932E-5C14F7E72455}"/>
    <cellStyle name="Comma 4 2 2 5 3 3" xfId="5434" xr:uid="{00000000-0005-0000-0000-000049080000}"/>
    <cellStyle name="Comma 4 2 2 5 3 3 2" xfId="13929" xr:uid="{1D041863-08E5-40E0-8D6A-4C1C109CDD27}"/>
    <cellStyle name="Comma 4 2 2 5 3 4" xfId="9716" xr:uid="{5D1762F6-0CFB-4E89-A812-F126F4BD6592}"/>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87" xr:uid="{DC5C3229-2194-45FD-88C5-63A29B4D7DDF}"/>
    <cellStyle name="Comma 4 2 2 5 4 2 3" xfId="12274" xr:uid="{839D0226-6592-43C2-8A2F-D49F93861AF4}"/>
    <cellStyle name="Comma 4 2 2 5 4 3" xfId="5847" xr:uid="{00000000-0005-0000-0000-00004D080000}"/>
    <cellStyle name="Comma 4 2 2 5 4 3 2" xfId="14342" xr:uid="{3EEFCF80-4C02-447C-8382-1353ED131CF2}"/>
    <cellStyle name="Comma 4 2 2 5 4 4" xfId="10129" xr:uid="{D86265E6-7367-4D96-B09F-8E9C8051495F}"/>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900" xr:uid="{600075A8-2930-4062-B0D1-B2DF1FA6E831}"/>
    <cellStyle name="Comma 4 2 2 5 5 2 3" xfId="12687" xr:uid="{54355FB6-F8AD-430C-865E-FCE8CB6859AD}"/>
    <cellStyle name="Comma 4 2 2 5 5 3" xfId="6260" xr:uid="{00000000-0005-0000-0000-000051080000}"/>
    <cellStyle name="Comma 4 2 2 5 5 3 2" xfId="14755" xr:uid="{72B226B3-804F-453B-89E0-18E0756A05A1}"/>
    <cellStyle name="Comma 4 2 2 5 5 4" xfId="10542" xr:uid="{BC6B627B-D14D-477B-9320-63B2114114F6}"/>
    <cellStyle name="Comma 4 2 2 5 6" xfId="2389" xr:uid="{00000000-0005-0000-0000-000052080000}"/>
    <cellStyle name="Comma 4 2 2 5 6 2" xfId="6673" xr:uid="{00000000-0005-0000-0000-000053080000}"/>
    <cellStyle name="Comma 4 2 2 5 6 2 2" xfId="15168" xr:uid="{FEC2576E-26D3-4D7B-95AD-3B1FA3C47458}"/>
    <cellStyle name="Comma 4 2 2 5 6 3" xfId="10955" xr:uid="{6411D32D-3D1C-412D-83B1-16D6F2BEB74E}"/>
    <cellStyle name="Comma 4 2 2 5 7" xfId="2374" xr:uid="{00000000-0005-0000-0000-000054080000}"/>
    <cellStyle name="Comma 4 2 2 5 8" xfId="2767" xr:uid="{00000000-0005-0000-0000-000055080000}"/>
    <cellStyle name="Comma 4 2 2 5 8 2" xfId="6990" xr:uid="{00000000-0005-0000-0000-000056080000}"/>
    <cellStyle name="Comma 4 2 2 5 8 2 2" xfId="15485" xr:uid="{314FA7A2-E600-4800-A89B-DF27864904D6}"/>
    <cellStyle name="Comma 4 2 2 5 8 3" xfId="11272" xr:uid="{C86FC47E-FCBE-435B-8DC5-E61A6DE0661C}"/>
    <cellStyle name="Comma 4 2 2 5 9" xfId="4607" xr:uid="{00000000-0005-0000-0000-000057080000}"/>
    <cellStyle name="Comma 4 2 2 5 9 2" xfId="13103" xr:uid="{7979E9E1-FF10-46A1-BEB3-06BA3FBD25BB}"/>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0 2 2" xfId="15486" xr:uid="{9B8B9CFB-8C60-496E-B35B-4061FE147340}"/>
    <cellStyle name="Comma 4 2 3 10 3" xfId="11273" xr:uid="{2D351B53-8B76-4316-B296-49982FADF803}"/>
    <cellStyle name="Comma 4 2 3 11" xfId="4608" xr:uid="{00000000-0005-0000-0000-00005B080000}"/>
    <cellStyle name="Comma 4 2 3 11 2" xfId="13104" xr:uid="{E24C1BFD-036D-46DF-9C1A-2CA73F016AE2}"/>
    <cellStyle name="Comma 4 2 3 12" xfId="8805" xr:uid="{C45527F6-07B7-4887-BAF3-A6424444BA3B}"/>
    <cellStyle name="Comma 4 2 3 2" xfId="137" xr:uid="{00000000-0005-0000-0000-00005C080000}"/>
    <cellStyle name="Comma 4 2 3 2 10" xfId="4609" xr:uid="{00000000-0005-0000-0000-00005D080000}"/>
    <cellStyle name="Comma 4 2 3 2 10 2" xfId="13105" xr:uid="{BF3CA8EB-1956-4DE2-85C3-15FB449D54E4}"/>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64" xr:uid="{C5055EF7-5D04-4F11-8A15-CE15772BA67D}"/>
    <cellStyle name="Comma 4 2 3 2 2 2 2 3" xfId="11451" xr:uid="{EBDE83D7-2A78-4DE5-BC11-5CABC829FB74}"/>
    <cellStyle name="Comma 4 2 3 2 2 2 3" xfId="5024" xr:uid="{00000000-0005-0000-0000-000062080000}"/>
    <cellStyle name="Comma 4 2 3 2 2 2 3 2" xfId="13519" xr:uid="{D67F18F2-588D-46F9-B39E-6A225816484D}"/>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77" xr:uid="{EFDD1FCD-6392-4E4B-9BF0-8369F6330301}"/>
    <cellStyle name="Comma 4 2 3 2 2 3 2 3" xfId="11864" xr:uid="{414D46D9-9675-42D1-8A17-20D6D2B2A07D}"/>
    <cellStyle name="Comma 4 2 3 2 2 3 3" xfId="5437" xr:uid="{00000000-0005-0000-0000-000066080000}"/>
    <cellStyle name="Comma 4 2 3 2 2 3 3 2" xfId="13932" xr:uid="{FE9357CA-FC85-4BD8-9C69-70E4A1B9A8CC}"/>
    <cellStyle name="Comma 4 2 3 2 2 3 4" xfId="9719" xr:uid="{290FE6F0-CB36-498C-B42C-474277083BDC}"/>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90" xr:uid="{4968109F-0F9B-4DB8-80E1-84CB2BDC4F72}"/>
    <cellStyle name="Comma 4 2 3 2 2 4 2 3" xfId="12277" xr:uid="{BE6917A4-E92D-4B86-A936-232AE289E7DA}"/>
    <cellStyle name="Comma 4 2 3 2 2 4 3" xfId="5850" xr:uid="{00000000-0005-0000-0000-00006A080000}"/>
    <cellStyle name="Comma 4 2 3 2 2 4 3 2" xfId="14345" xr:uid="{DDB32B69-195C-49D7-B8AD-D9BE6BDA729F}"/>
    <cellStyle name="Comma 4 2 3 2 2 4 4" xfId="10132" xr:uid="{6EDE2513-A1DD-427E-8401-41B4ED7B2DDE}"/>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903" xr:uid="{F44F7949-6612-4F20-BC4D-4C685B48FAAC}"/>
    <cellStyle name="Comma 4 2 3 2 2 5 2 3" xfId="12690" xr:uid="{CCEF5EC4-5646-4E0C-ABE3-2889CA1586A5}"/>
    <cellStyle name="Comma 4 2 3 2 2 5 3" xfId="6263" xr:uid="{00000000-0005-0000-0000-00006E080000}"/>
    <cellStyle name="Comma 4 2 3 2 2 5 3 2" xfId="14758" xr:uid="{B1889E56-E68D-4DD2-B02E-8B4D0EE5121D}"/>
    <cellStyle name="Comma 4 2 3 2 2 5 4" xfId="10545" xr:uid="{9AFAD24D-E3C1-4D9F-99AF-D1676746B18C}"/>
    <cellStyle name="Comma 4 2 3 2 2 6" xfId="2392" xr:uid="{00000000-0005-0000-0000-00006F080000}"/>
    <cellStyle name="Comma 4 2 3 2 2 6 2" xfId="6676" xr:uid="{00000000-0005-0000-0000-000070080000}"/>
    <cellStyle name="Comma 4 2 3 2 2 6 2 2" xfId="15171" xr:uid="{57810231-0E99-4FEC-A92F-A4FCED90C2B3}"/>
    <cellStyle name="Comma 4 2 3 2 2 6 3" xfId="10958" xr:uid="{C59F857D-E3CA-4EFF-9A14-E6E4346FE18B}"/>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88" xr:uid="{04796B32-1F01-4C45-8FE0-76536E40E024}"/>
    <cellStyle name="Comma 4 2 3 2 2 8 3" xfId="11275" xr:uid="{EFFE59FF-0B60-4082-9A61-5CB4CB2DB4DD}"/>
    <cellStyle name="Comma 4 2 3 2 2 9" xfId="4610" xr:uid="{00000000-0005-0000-0000-000074080000}"/>
    <cellStyle name="Comma 4 2 3 2 2 9 2" xfId="13106" xr:uid="{9D1F8734-A6E0-4D85-B801-88CFFB532490}"/>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63" xr:uid="{68CE9209-A6C1-4751-838B-4B65C95F7273}"/>
    <cellStyle name="Comma 4 2 3 2 3 2 3" xfId="11450" xr:uid="{BAD87B73-58D6-4CB6-83DF-352339B9E17D}"/>
    <cellStyle name="Comma 4 2 3 2 3 3" xfId="5023" xr:uid="{00000000-0005-0000-0000-000078080000}"/>
    <cellStyle name="Comma 4 2 3 2 3 3 2" xfId="13518" xr:uid="{E7DD6D0D-C69C-4733-919D-F683C5063148}"/>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76" xr:uid="{59CDB467-FEBB-42C8-AE61-7F154ADFE69B}"/>
    <cellStyle name="Comma 4 2 3 2 4 2 3" xfId="11863" xr:uid="{6818B242-A0EA-441E-9A63-C0C459113A32}"/>
    <cellStyle name="Comma 4 2 3 2 4 3" xfId="5436" xr:uid="{00000000-0005-0000-0000-00007C080000}"/>
    <cellStyle name="Comma 4 2 3 2 4 3 2" xfId="13931" xr:uid="{75DEA834-26B9-442F-BC5B-FDF2EEA45E0D}"/>
    <cellStyle name="Comma 4 2 3 2 4 4" xfId="9718" xr:uid="{0130D547-0426-45B6-80FD-58EDA679F35A}"/>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89" xr:uid="{66C473A3-1F72-4E2C-8B3B-4FA0BBD8B11A}"/>
    <cellStyle name="Comma 4 2 3 2 5 2 3" xfId="12276" xr:uid="{CC14AE06-9E52-4BBA-B597-9F5DA781765B}"/>
    <cellStyle name="Comma 4 2 3 2 5 3" xfId="5849" xr:uid="{00000000-0005-0000-0000-000080080000}"/>
    <cellStyle name="Comma 4 2 3 2 5 3 2" xfId="14344" xr:uid="{13C4A503-9BA5-4071-838C-E57BBB2F73A6}"/>
    <cellStyle name="Comma 4 2 3 2 5 4" xfId="10131" xr:uid="{15A73546-59DE-4E54-A3F4-FA97F646B5D5}"/>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902" xr:uid="{7B98C51F-02CA-446D-A39E-C0D1DFDD15BB}"/>
    <cellStyle name="Comma 4 2 3 2 6 2 3" xfId="12689" xr:uid="{A151630B-980B-4710-9C7D-834FD1A13E93}"/>
    <cellStyle name="Comma 4 2 3 2 6 3" xfId="6262" xr:uid="{00000000-0005-0000-0000-000084080000}"/>
    <cellStyle name="Comma 4 2 3 2 6 3 2" xfId="14757" xr:uid="{2D766740-D4E9-4B44-A0C8-DC19F15215AA}"/>
    <cellStyle name="Comma 4 2 3 2 6 4" xfId="10544" xr:uid="{3281EA4B-D4C5-4DD2-B142-AC8BD05DF644}"/>
    <cellStyle name="Comma 4 2 3 2 7" xfId="2391" xr:uid="{00000000-0005-0000-0000-000085080000}"/>
    <cellStyle name="Comma 4 2 3 2 7 2" xfId="6675" xr:uid="{00000000-0005-0000-0000-000086080000}"/>
    <cellStyle name="Comma 4 2 3 2 7 2 2" xfId="15170" xr:uid="{AD65AF7F-3720-4503-99D5-1EF2AD797CD5}"/>
    <cellStyle name="Comma 4 2 3 2 7 3" xfId="10957" xr:uid="{ABE845C7-29F9-49BB-8623-F39541971AB3}"/>
    <cellStyle name="Comma 4 2 3 2 8" xfId="2372" xr:uid="{00000000-0005-0000-0000-000087080000}"/>
    <cellStyle name="Comma 4 2 3 2 9" xfId="2769" xr:uid="{00000000-0005-0000-0000-000088080000}"/>
    <cellStyle name="Comma 4 2 3 2 9 2" xfId="6992" xr:uid="{00000000-0005-0000-0000-000089080000}"/>
    <cellStyle name="Comma 4 2 3 2 9 2 2" xfId="15487" xr:uid="{3101DC33-19E5-4A90-B852-F6AD4E5FFBF2}"/>
    <cellStyle name="Comma 4 2 3 2 9 3" xfId="11274" xr:uid="{970A2754-B69F-4C39-80A4-616CD74406C3}"/>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65" xr:uid="{006B75B4-E333-4456-974F-C1F0D04F7668}"/>
    <cellStyle name="Comma 4 2 3 3 2 2 3" xfId="11452" xr:uid="{687D26E7-47DE-4891-9528-AC8559FEB97D}"/>
    <cellStyle name="Comma 4 2 3 3 2 3" xfId="5025" xr:uid="{00000000-0005-0000-0000-00008E080000}"/>
    <cellStyle name="Comma 4 2 3 3 2 3 2" xfId="13520" xr:uid="{F008B6FB-E9A8-4973-8724-DFB002F567B9}"/>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78" xr:uid="{A2B33F79-4B84-4B50-B0D1-840EC9985D62}"/>
    <cellStyle name="Comma 4 2 3 3 3 2 3" xfId="11865" xr:uid="{BA58E6BE-7849-427A-809B-8C0A9AF444F5}"/>
    <cellStyle name="Comma 4 2 3 3 3 3" xfId="5438" xr:uid="{00000000-0005-0000-0000-000092080000}"/>
    <cellStyle name="Comma 4 2 3 3 3 3 2" xfId="13933" xr:uid="{06CC6D9F-9D94-437A-8915-D6EBF3CEEF6F}"/>
    <cellStyle name="Comma 4 2 3 3 3 4" xfId="9720" xr:uid="{363429E2-47EB-457E-8D59-A4D394AB5625}"/>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91" xr:uid="{390F5E0C-A250-4AEE-9C61-9161CD50A6DE}"/>
    <cellStyle name="Comma 4 2 3 3 4 2 3" xfId="12278" xr:uid="{32B28637-FA3D-4E00-A0FB-3124E2185CC6}"/>
    <cellStyle name="Comma 4 2 3 3 4 3" xfId="5851" xr:uid="{00000000-0005-0000-0000-000096080000}"/>
    <cellStyle name="Comma 4 2 3 3 4 3 2" xfId="14346" xr:uid="{F89EB014-ED6B-4E75-B698-BEF2D98353D6}"/>
    <cellStyle name="Comma 4 2 3 3 4 4" xfId="10133" xr:uid="{8E0F3334-729B-405F-8A3C-5DBB122F6E2C}"/>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904" xr:uid="{E52F8274-81F5-4183-9968-DB45AF496488}"/>
    <cellStyle name="Comma 4 2 3 3 5 2 3" xfId="12691" xr:uid="{AB72DCBC-27AE-48A4-85B6-7AFE82484BAB}"/>
    <cellStyle name="Comma 4 2 3 3 5 3" xfId="6264" xr:uid="{00000000-0005-0000-0000-00009A080000}"/>
    <cellStyle name="Comma 4 2 3 3 5 3 2" xfId="14759" xr:uid="{39BE8166-8C8E-4E26-B4A8-593F0EBD035B}"/>
    <cellStyle name="Comma 4 2 3 3 5 4" xfId="10546" xr:uid="{FA11934E-02A2-4D4B-BA64-04D9C6848933}"/>
    <cellStyle name="Comma 4 2 3 3 6" xfId="2393" xr:uid="{00000000-0005-0000-0000-00009B080000}"/>
    <cellStyle name="Comma 4 2 3 3 6 2" xfId="6677" xr:uid="{00000000-0005-0000-0000-00009C080000}"/>
    <cellStyle name="Comma 4 2 3 3 6 2 2" xfId="15172" xr:uid="{FC906D63-B0B6-40CD-AB16-36A8EC062B55}"/>
    <cellStyle name="Comma 4 2 3 3 6 3" xfId="10959" xr:uid="{038A3B37-9B51-47A3-AC7E-A38D98333B1D}"/>
    <cellStyle name="Comma 4 2 3 3 7" xfId="2370" xr:uid="{00000000-0005-0000-0000-00009D080000}"/>
    <cellStyle name="Comma 4 2 3 3 8" xfId="2771" xr:uid="{00000000-0005-0000-0000-00009E080000}"/>
    <cellStyle name="Comma 4 2 3 3 8 2" xfId="6994" xr:uid="{00000000-0005-0000-0000-00009F080000}"/>
    <cellStyle name="Comma 4 2 3 3 8 2 2" xfId="15489" xr:uid="{A1C279B9-86E8-4E60-B8D4-ECBAED96CB53}"/>
    <cellStyle name="Comma 4 2 3 3 8 3" xfId="11276" xr:uid="{082EA5A2-8736-464E-BA25-4977EBDBE34C}"/>
    <cellStyle name="Comma 4 2 3 3 9" xfId="4611" xr:uid="{00000000-0005-0000-0000-0000A0080000}"/>
    <cellStyle name="Comma 4 2 3 3 9 2" xfId="13107" xr:uid="{4944B4FF-031D-47F2-8774-034F8DFE07CD}"/>
    <cellStyle name="Comma 4 2 3 4" xfId="674" xr:uid="{00000000-0005-0000-0000-0000A1080000}"/>
    <cellStyle name="Comma 4 2 3 4 2" xfId="2945" xr:uid="{00000000-0005-0000-0000-0000A2080000}"/>
    <cellStyle name="Comma 4 2 3 4 2 2" xfId="7167" xr:uid="{00000000-0005-0000-0000-0000A3080000}"/>
    <cellStyle name="Comma 4 2 3 4 2 2 2" xfId="15662" xr:uid="{25DEC326-33E2-4BE6-9F19-2DF5A2D1CFB7}"/>
    <cellStyle name="Comma 4 2 3 4 2 3" xfId="11449" xr:uid="{C8C6F03F-D28C-4C76-BA2F-BD0868547077}"/>
    <cellStyle name="Comma 4 2 3 4 3" xfId="5022" xr:uid="{00000000-0005-0000-0000-0000A4080000}"/>
    <cellStyle name="Comma 4 2 3 4 3 2" xfId="13517" xr:uid="{702FBABB-628F-4D01-BAAB-DD57FEF477DC}"/>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2 2 2" xfId="16075" xr:uid="{A30DAAD8-46A8-4641-B596-8AB04803D9A5}"/>
    <cellStyle name="Comma 4 2 3 5 2 3" xfId="11862" xr:uid="{A9C6E380-2DA1-4C7F-8375-8C78DC7CEB68}"/>
    <cellStyle name="Comma 4 2 3 5 3" xfId="5435" xr:uid="{00000000-0005-0000-0000-0000A8080000}"/>
    <cellStyle name="Comma 4 2 3 5 3 2" xfId="13930" xr:uid="{FD93EEC6-1CF2-435A-89DE-345639C75F80}"/>
    <cellStyle name="Comma 4 2 3 5 4" xfId="9717" xr:uid="{9AAFCB8F-A0BD-47D4-BFB9-AE081A76D64E}"/>
    <cellStyle name="Comma 4 2 3 6" xfId="1541" xr:uid="{00000000-0005-0000-0000-0000A9080000}"/>
    <cellStyle name="Comma 4 2 3 6 2" xfId="3771" xr:uid="{00000000-0005-0000-0000-0000AA080000}"/>
    <cellStyle name="Comma 4 2 3 6 2 2" xfId="7993" xr:uid="{00000000-0005-0000-0000-0000AB080000}"/>
    <cellStyle name="Comma 4 2 3 6 2 2 2" xfId="16488" xr:uid="{B3562FB3-A724-40D7-868F-084613863DB4}"/>
    <cellStyle name="Comma 4 2 3 6 2 3" xfId="12275" xr:uid="{F217F7E7-8361-4B87-A7F3-9B4FE69829B3}"/>
    <cellStyle name="Comma 4 2 3 6 3" xfId="5848" xr:uid="{00000000-0005-0000-0000-0000AC080000}"/>
    <cellStyle name="Comma 4 2 3 6 3 2" xfId="14343" xr:uid="{7DDF6D02-79C6-4338-9119-0BDBC04A729A}"/>
    <cellStyle name="Comma 4 2 3 6 4" xfId="10130" xr:uid="{BAB37886-4646-4E9C-B60F-25EF36BE7B2B}"/>
    <cellStyle name="Comma 4 2 3 7" xfId="1955" xr:uid="{00000000-0005-0000-0000-0000AD080000}"/>
    <cellStyle name="Comma 4 2 3 7 2" xfId="4184" xr:uid="{00000000-0005-0000-0000-0000AE080000}"/>
    <cellStyle name="Comma 4 2 3 7 2 2" xfId="8406" xr:uid="{00000000-0005-0000-0000-0000AF080000}"/>
    <cellStyle name="Comma 4 2 3 7 2 2 2" xfId="16901" xr:uid="{612B4E7C-CDDA-47E8-BBD5-562FF89237A5}"/>
    <cellStyle name="Comma 4 2 3 7 2 3" xfId="12688" xr:uid="{D84C2162-CF6F-421D-9298-485087D91C29}"/>
    <cellStyle name="Comma 4 2 3 7 3" xfId="6261" xr:uid="{00000000-0005-0000-0000-0000B0080000}"/>
    <cellStyle name="Comma 4 2 3 7 3 2" xfId="14756" xr:uid="{C1A8E7A9-227E-42EE-B6AE-6FEAE8643DD7}"/>
    <cellStyle name="Comma 4 2 3 7 4" xfId="10543" xr:uid="{D7CBF449-F43D-4092-ABFF-D52BAF6C91D3}"/>
    <cellStyle name="Comma 4 2 3 8" xfId="2390" xr:uid="{00000000-0005-0000-0000-0000B1080000}"/>
    <cellStyle name="Comma 4 2 3 8 2" xfId="6674" xr:uid="{00000000-0005-0000-0000-0000B2080000}"/>
    <cellStyle name="Comma 4 2 3 8 2 2" xfId="15169" xr:uid="{E0D9907F-3046-453F-B963-BD125E90ECAF}"/>
    <cellStyle name="Comma 4 2 3 8 3" xfId="10956" xr:uid="{B087B0B5-0622-48DD-B560-C9F0202AF9FE}"/>
    <cellStyle name="Comma 4 2 3 9" xfId="2373" xr:uid="{00000000-0005-0000-0000-0000B3080000}"/>
    <cellStyle name="Comma 4 2 4" xfId="140" xr:uid="{00000000-0005-0000-0000-0000B4080000}"/>
    <cellStyle name="Comma 4 2 4 10" xfId="4612" xr:uid="{00000000-0005-0000-0000-0000B5080000}"/>
    <cellStyle name="Comma 4 2 4 10 2" xfId="13108" xr:uid="{DC76D508-1AB3-4F4B-AE43-3E973D4C186D}"/>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67" xr:uid="{2F63F91D-8FF1-421A-9835-938C4C1B05B9}"/>
    <cellStyle name="Comma 4 2 4 2 2 2 3" xfId="11454" xr:uid="{2C8360E0-2253-4243-B25B-79BD6B90721E}"/>
    <cellStyle name="Comma 4 2 4 2 2 3" xfId="5027" xr:uid="{00000000-0005-0000-0000-0000BA080000}"/>
    <cellStyle name="Comma 4 2 4 2 2 3 2" xfId="13522" xr:uid="{6CC1D3CA-D31A-4DBE-8BF7-900879C63577}"/>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80" xr:uid="{13FBC788-05CC-4C6B-A449-06722B575C56}"/>
    <cellStyle name="Comma 4 2 4 2 3 2 3" xfId="11867" xr:uid="{75636BCC-D9B1-4398-B8BD-B8C2C314E9BD}"/>
    <cellStyle name="Comma 4 2 4 2 3 3" xfId="5440" xr:uid="{00000000-0005-0000-0000-0000BE080000}"/>
    <cellStyle name="Comma 4 2 4 2 3 3 2" xfId="13935" xr:uid="{5A5D4E8C-9D6B-4DF8-A858-751752D98FC5}"/>
    <cellStyle name="Comma 4 2 4 2 3 4" xfId="9722" xr:uid="{96420252-CEA0-4832-8367-9D8833E8C6C1}"/>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93" xr:uid="{FB02E91B-6293-40E9-B850-EDC75E207E8D}"/>
    <cellStyle name="Comma 4 2 4 2 4 2 3" xfId="12280" xr:uid="{B4F8BA81-1DA0-4C7A-B8D2-0090B7D8395B}"/>
    <cellStyle name="Comma 4 2 4 2 4 3" xfId="5853" xr:uid="{00000000-0005-0000-0000-0000C2080000}"/>
    <cellStyle name="Comma 4 2 4 2 4 3 2" xfId="14348" xr:uid="{53BDAABA-615A-4ACB-A368-7E50536E3307}"/>
    <cellStyle name="Comma 4 2 4 2 4 4" xfId="10135" xr:uid="{AD3549B4-B081-4E9A-91BC-CCFCE67F28BC}"/>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906" xr:uid="{7D41E2E6-407C-487C-81EA-811B24AF2FF0}"/>
    <cellStyle name="Comma 4 2 4 2 5 2 3" xfId="12693" xr:uid="{27BF80CA-652A-43AC-931A-7C8B646F63E0}"/>
    <cellStyle name="Comma 4 2 4 2 5 3" xfId="6266" xr:uid="{00000000-0005-0000-0000-0000C6080000}"/>
    <cellStyle name="Comma 4 2 4 2 5 3 2" xfId="14761" xr:uid="{CCB1439C-8B10-466A-9C6B-A8F9BFD9BD00}"/>
    <cellStyle name="Comma 4 2 4 2 5 4" xfId="10548" xr:uid="{E0012134-3677-431E-AF9F-2713DEA4234A}"/>
    <cellStyle name="Comma 4 2 4 2 6" xfId="2395" xr:uid="{00000000-0005-0000-0000-0000C7080000}"/>
    <cellStyle name="Comma 4 2 4 2 6 2" xfId="6679" xr:uid="{00000000-0005-0000-0000-0000C8080000}"/>
    <cellStyle name="Comma 4 2 4 2 6 2 2" xfId="15174" xr:uid="{0B9ACB2D-9373-4571-A585-4356D17E4CE5}"/>
    <cellStyle name="Comma 4 2 4 2 6 3" xfId="10961" xr:uid="{23762CCF-F500-412A-85A4-C2479BB59698}"/>
    <cellStyle name="Comma 4 2 4 2 7" xfId="2368" xr:uid="{00000000-0005-0000-0000-0000C9080000}"/>
    <cellStyle name="Comma 4 2 4 2 8" xfId="2773" xr:uid="{00000000-0005-0000-0000-0000CA080000}"/>
    <cellStyle name="Comma 4 2 4 2 8 2" xfId="6996" xr:uid="{00000000-0005-0000-0000-0000CB080000}"/>
    <cellStyle name="Comma 4 2 4 2 8 2 2" xfId="15491" xr:uid="{0847B34D-759C-4530-95D1-7815AE06E366}"/>
    <cellStyle name="Comma 4 2 4 2 8 3" xfId="11278" xr:uid="{5FD98E3A-C49A-4AF3-A727-79DF7DBD2936}"/>
    <cellStyle name="Comma 4 2 4 2 9" xfId="4613" xr:uid="{00000000-0005-0000-0000-0000CC080000}"/>
    <cellStyle name="Comma 4 2 4 2 9 2" xfId="13109" xr:uid="{0CCCD5FF-A157-4F4F-8B56-C5B304E8ADCB}"/>
    <cellStyle name="Comma 4 2 4 3" xfId="678" xr:uid="{00000000-0005-0000-0000-0000CD080000}"/>
    <cellStyle name="Comma 4 2 4 3 2" xfId="2949" xr:uid="{00000000-0005-0000-0000-0000CE080000}"/>
    <cellStyle name="Comma 4 2 4 3 2 2" xfId="7171" xr:uid="{00000000-0005-0000-0000-0000CF080000}"/>
    <cellStyle name="Comma 4 2 4 3 2 2 2" xfId="15666" xr:uid="{03DEB00C-D8C7-479D-8E6A-234CDF711C0E}"/>
    <cellStyle name="Comma 4 2 4 3 2 3" xfId="11453" xr:uid="{A4B2071F-CC22-403C-8708-08206BCF9791}"/>
    <cellStyle name="Comma 4 2 4 3 3" xfId="5026" xr:uid="{00000000-0005-0000-0000-0000D0080000}"/>
    <cellStyle name="Comma 4 2 4 3 3 2" xfId="13521" xr:uid="{137B7363-8A2C-4453-980B-89D91D3B5C1F}"/>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2 2 2" xfId="16079" xr:uid="{DC5A60B4-A080-4AFA-963E-A3AC92B3C085}"/>
    <cellStyle name="Comma 4 2 4 4 2 3" xfId="11866" xr:uid="{C70DABAB-8577-4183-8131-5C2BE1C238E7}"/>
    <cellStyle name="Comma 4 2 4 4 3" xfId="5439" xr:uid="{00000000-0005-0000-0000-0000D4080000}"/>
    <cellStyle name="Comma 4 2 4 4 3 2" xfId="13934" xr:uid="{280AB455-34A5-4F22-99E1-A7841F5079BB}"/>
    <cellStyle name="Comma 4 2 4 4 4" xfId="9721" xr:uid="{7BC8E648-0742-488D-A14A-F8F466A41F6E}"/>
    <cellStyle name="Comma 4 2 4 5" xfId="1545" xr:uid="{00000000-0005-0000-0000-0000D5080000}"/>
    <cellStyle name="Comma 4 2 4 5 2" xfId="3775" xr:uid="{00000000-0005-0000-0000-0000D6080000}"/>
    <cellStyle name="Comma 4 2 4 5 2 2" xfId="7997" xr:uid="{00000000-0005-0000-0000-0000D7080000}"/>
    <cellStyle name="Comma 4 2 4 5 2 2 2" xfId="16492" xr:uid="{699B30D7-7871-4143-81DF-676F9B957E88}"/>
    <cellStyle name="Comma 4 2 4 5 2 3" xfId="12279" xr:uid="{E8869B13-28F2-4210-8C85-872AA76F2AF6}"/>
    <cellStyle name="Comma 4 2 4 5 3" xfId="5852" xr:uid="{00000000-0005-0000-0000-0000D8080000}"/>
    <cellStyle name="Comma 4 2 4 5 3 2" xfId="14347" xr:uid="{A6F5C5CB-7D8F-4752-82CD-D23F0F968616}"/>
    <cellStyle name="Comma 4 2 4 5 4" xfId="10134" xr:uid="{445B4735-7A5E-42FB-AC7E-9E1C2985513C}"/>
    <cellStyle name="Comma 4 2 4 6" xfId="1959" xr:uid="{00000000-0005-0000-0000-0000D9080000}"/>
    <cellStyle name="Comma 4 2 4 6 2" xfId="4188" xr:uid="{00000000-0005-0000-0000-0000DA080000}"/>
    <cellStyle name="Comma 4 2 4 6 2 2" xfId="8410" xr:uid="{00000000-0005-0000-0000-0000DB080000}"/>
    <cellStyle name="Comma 4 2 4 6 2 2 2" xfId="16905" xr:uid="{B591CED7-CA9F-4717-B6F9-6497D8FEFB51}"/>
    <cellStyle name="Comma 4 2 4 6 2 3" xfId="12692" xr:uid="{500470B3-C59B-40B6-B561-6EC295309126}"/>
    <cellStyle name="Comma 4 2 4 6 3" xfId="6265" xr:uid="{00000000-0005-0000-0000-0000DC080000}"/>
    <cellStyle name="Comma 4 2 4 6 3 2" xfId="14760" xr:uid="{EBB605B6-1FDC-4D84-A139-B584047410DE}"/>
    <cellStyle name="Comma 4 2 4 6 4" xfId="10547" xr:uid="{A6AAC11A-CC33-456A-A46E-1C3231242828}"/>
    <cellStyle name="Comma 4 2 4 7" xfId="2394" xr:uid="{00000000-0005-0000-0000-0000DD080000}"/>
    <cellStyle name="Comma 4 2 4 7 2" xfId="6678" xr:uid="{00000000-0005-0000-0000-0000DE080000}"/>
    <cellStyle name="Comma 4 2 4 7 2 2" xfId="15173" xr:uid="{565F8A84-DCA4-4BAE-8C85-96D80731C439}"/>
    <cellStyle name="Comma 4 2 4 7 3" xfId="10960" xr:uid="{15599728-C57E-4AC0-849F-08445BAE3F4A}"/>
    <cellStyle name="Comma 4 2 4 8" xfId="2369" xr:uid="{00000000-0005-0000-0000-0000DF080000}"/>
    <cellStyle name="Comma 4 2 4 9" xfId="2772" xr:uid="{00000000-0005-0000-0000-0000E0080000}"/>
    <cellStyle name="Comma 4 2 4 9 2" xfId="6995" xr:uid="{00000000-0005-0000-0000-0000E1080000}"/>
    <cellStyle name="Comma 4 2 4 9 2 2" xfId="15490" xr:uid="{ECA1A2A4-0EA9-49B0-9B31-6D8D28CC7D88}"/>
    <cellStyle name="Comma 4 2 4 9 3" xfId="11277" xr:uid="{CEC8AF99-052E-4A2F-B101-7D8564383297}"/>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2 2 2" xfId="15668" xr:uid="{F4F661FF-F396-40CB-A9F5-5BF8A79ABE32}"/>
    <cellStyle name="Comma 4 2 5 2 2 3" xfId="11455" xr:uid="{C5D7F1FA-D811-4552-B58B-2EC93C8CEDD8}"/>
    <cellStyle name="Comma 4 2 5 2 3" xfId="5028" xr:uid="{00000000-0005-0000-0000-0000E6080000}"/>
    <cellStyle name="Comma 4 2 5 2 3 2" xfId="13523" xr:uid="{BAB7BDD8-EC9C-47BB-8F80-43DFE9E1D231}"/>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2 2 2" xfId="16081" xr:uid="{54619786-5325-49E2-ABC2-D23F318976B7}"/>
    <cellStyle name="Comma 4 2 5 3 2 3" xfId="11868" xr:uid="{E86CA19F-1467-4F98-BD6B-6A162AE47069}"/>
    <cellStyle name="Comma 4 2 5 3 3" xfId="5441" xr:uid="{00000000-0005-0000-0000-0000EA080000}"/>
    <cellStyle name="Comma 4 2 5 3 3 2" xfId="13936" xr:uid="{389F31A9-9D7B-4607-B817-47A7E3BE270C}"/>
    <cellStyle name="Comma 4 2 5 3 4" xfId="9723" xr:uid="{75E9CD14-1605-44CF-9ED7-08339B5B1305}"/>
    <cellStyle name="Comma 4 2 5 4" xfId="1547" xr:uid="{00000000-0005-0000-0000-0000EB080000}"/>
    <cellStyle name="Comma 4 2 5 4 2" xfId="3777" xr:uid="{00000000-0005-0000-0000-0000EC080000}"/>
    <cellStyle name="Comma 4 2 5 4 2 2" xfId="7999" xr:uid="{00000000-0005-0000-0000-0000ED080000}"/>
    <cellStyle name="Comma 4 2 5 4 2 2 2" xfId="16494" xr:uid="{489A9586-27CC-4AED-B1DF-320588840BA8}"/>
    <cellStyle name="Comma 4 2 5 4 2 3" xfId="12281" xr:uid="{03E412F6-E0A3-43EF-963D-0E5273120636}"/>
    <cellStyle name="Comma 4 2 5 4 3" xfId="5854" xr:uid="{00000000-0005-0000-0000-0000EE080000}"/>
    <cellStyle name="Comma 4 2 5 4 3 2" xfId="14349" xr:uid="{6196D878-FE0B-421E-9246-A0D89BC64FCA}"/>
    <cellStyle name="Comma 4 2 5 4 4" xfId="10136" xr:uid="{DC35E51F-1831-4FD9-9CD7-0414846800D4}"/>
    <cellStyle name="Comma 4 2 5 5" xfId="1961" xr:uid="{00000000-0005-0000-0000-0000EF080000}"/>
    <cellStyle name="Comma 4 2 5 5 2" xfId="4190" xr:uid="{00000000-0005-0000-0000-0000F0080000}"/>
    <cellStyle name="Comma 4 2 5 5 2 2" xfId="8412" xr:uid="{00000000-0005-0000-0000-0000F1080000}"/>
    <cellStyle name="Comma 4 2 5 5 2 2 2" xfId="16907" xr:uid="{54DAD2A6-FBB5-4E52-950D-49C6EDEF327A}"/>
    <cellStyle name="Comma 4 2 5 5 2 3" xfId="12694" xr:uid="{F15817C0-161F-4149-B6A8-207D63C41564}"/>
    <cellStyle name="Comma 4 2 5 5 3" xfId="6267" xr:uid="{00000000-0005-0000-0000-0000F2080000}"/>
    <cellStyle name="Comma 4 2 5 5 3 2" xfId="14762" xr:uid="{5319851E-5C1A-44B6-B5E6-8A94FF87D48F}"/>
    <cellStyle name="Comma 4 2 5 5 4" xfId="10549" xr:uid="{5E95583F-67EB-456E-B9DA-E720F34A13B5}"/>
    <cellStyle name="Comma 4 2 5 6" xfId="2396" xr:uid="{00000000-0005-0000-0000-0000F3080000}"/>
    <cellStyle name="Comma 4 2 5 6 2" xfId="6680" xr:uid="{00000000-0005-0000-0000-0000F4080000}"/>
    <cellStyle name="Comma 4 2 5 6 2 2" xfId="15175" xr:uid="{2F887206-E024-4E1E-8871-616811CB8971}"/>
    <cellStyle name="Comma 4 2 5 6 3" xfId="10962" xr:uid="{FDCFB624-D622-4665-89F3-93E95F6C6F99}"/>
    <cellStyle name="Comma 4 2 5 7" xfId="2367" xr:uid="{00000000-0005-0000-0000-0000F5080000}"/>
    <cellStyle name="Comma 4 2 5 8" xfId="2774" xr:uid="{00000000-0005-0000-0000-0000F6080000}"/>
    <cellStyle name="Comma 4 2 5 8 2" xfId="6997" xr:uid="{00000000-0005-0000-0000-0000F7080000}"/>
    <cellStyle name="Comma 4 2 5 8 2 2" xfId="15492" xr:uid="{2EBC77AC-C3AA-45E1-98D5-69D653506047}"/>
    <cellStyle name="Comma 4 2 5 8 3" xfId="11279" xr:uid="{A7B131D6-5418-49B3-A9CB-A4EFC5FF3F73}"/>
    <cellStyle name="Comma 4 2 5 9" xfId="4614" xr:uid="{00000000-0005-0000-0000-0000F8080000}"/>
    <cellStyle name="Comma 4 2 5 9 2" xfId="13110" xr:uid="{20B191A1-B585-4761-A900-98A50DBAF79C}"/>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2 2 2" xfId="15669" xr:uid="{74D9C4B1-CA94-435E-BAA5-905ACC4C140E}"/>
    <cellStyle name="Comma 4 2 6 2 2 3" xfId="11456" xr:uid="{F284896E-8F8A-4C75-980A-EF3A7AA26963}"/>
    <cellStyle name="Comma 4 2 6 2 3" xfId="5029" xr:uid="{00000000-0005-0000-0000-0000FD080000}"/>
    <cellStyle name="Comma 4 2 6 2 3 2" xfId="13524" xr:uid="{4F4FDCA5-01A6-45CD-A2A8-81041ECB891E}"/>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2 2 2" xfId="16082" xr:uid="{6E766891-2D3E-4018-9A22-408156CBEE04}"/>
    <cellStyle name="Comma 4 2 6 3 2 3" xfId="11869" xr:uid="{B8941265-2F21-42CB-864C-5DA3C984806F}"/>
    <cellStyle name="Comma 4 2 6 3 3" xfId="5442" xr:uid="{00000000-0005-0000-0000-000001090000}"/>
    <cellStyle name="Comma 4 2 6 3 3 2" xfId="13937" xr:uid="{E165F93A-C647-4164-B0D2-0B4D43F4E3B1}"/>
    <cellStyle name="Comma 4 2 6 3 4" xfId="9724" xr:uid="{F14DF48B-D251-46B1-AB83-71E959806408}"/>
    <cellStyle name="Comma 4 2 6 4" xfId="1548" xr:uid="{00000000-0005-0000-0000-000002090000}"/>
    <cellStyle name="Comma 4 2 6 4 2" xfId="3778" xr:uid="{00000000-0005-0000-0000-000003090000}"/>
    <cellStyle name="Comma 4 2 6 4 2 2" xfId="8000" xr:uid="{00000000-0005-0000-0000-000004090000}"/>
    <cellStyle name="Comma 4 2 6 4 2 2 2" xfId="16495" xr:uid="{CF66F630-A4A5-41CE-B162-E0F03A77A348}"/>
    <cellStyle name="Comma 4 2 6 4 2 3" xfId="12282" xr:uid="{53E8ADAE-72F1-4322-8377-0DC52E219DEB}"/>
    <cellStyle name="Comma 4 2 6 4 3" xfId="5855" xr:uid="{00000000-0005-0000-0000-000005090000}"/>
    <cellStyle name="Comma 4 2 6 4 3 2" xfId="14350" xr:uid="{4AE420B1-191E-49CF-AC6E-4DEA4C5F9566}"/>
    <cellStyle name="Comma 4 2 6 4 4" xfId="10137" xr:uid="{ACB5353B-D489-4A67-AFBC-70D23C747633}"/>
    <cellStyle name="Comma 4 2 6 5" xfId="1962" xr:uid="{00000000-0005-0000-0000-000006090000}"/>
    <cellStyle name="Comma 4 2 6 5 2" xfId="4191" xr:uid="{00000000-0005-0000-0000-000007090000}"/>
    <cellStyle name="Comma 4 2 6 5 2 2" xfId="8413" xr:uid="{00000000-0005-0000-0000-000008090000}"/>
    <cellStyle name="Comma 4 2 6 5 2 2 2" xfId="16908" xr:uid="{E9C84CEB-C6C9-4EFB-9E63-56DBE5115B86}"/>
    <cellStyle name="Comma 4 2 6 5 2 3" xfId="12695" xr:uid="{7942B81F-D52D-4255-8C50-99E87E979312}"/>
    <cellStyle name="Comma 4 2 6 5 3" xfId="6268" xr:uid="{00000000-0005-0000-0000-000009090000}"/>
    <cellStyle name="Comma 4 2 6 5 3 2" xfId="14763" xr:uid="{F761A5B5-6549-4549-A0D4-2C902AF3345A}"/>
    <cellStyle name="Comma 4 2 6 5 4" xfId="10550" xr:uid="{0060AE31-F0E9-46E9-B8C2-97ACC5536951}"/>
    <cellStyle name="Comma 4 2 6 6" xfId="2397" xr:uid="{00000000-0005-0000-0000-00000A090000}"/>
    <cellStyle name="Comma 4 2 6 6 2" xfId="6681" xr:uid="{00000000-0005-0000-0000-00000B090000}"/>
    <cellStyle name="Comma 4 2 6 6 2 2" xfId="15176" xr:uid="{323F8690-F6FC-4220-822E-241B2639A539}"/>
    <cellStyle name="Comma 4 2 6 6 3" xfId="10963" xr:uid="{0F3E8287-02CE-47AD-AE5C-15C73DE89BE4}"/>
    <cellStyle name="Comma 4 2 6 7" xfId="2366" xr:uid="{00000000-0005-0000-0000-00000C090000}"/>
    <cellStyle name="Comma 4 2 6 8" xfId="2775" xr:uid="{00000000-0005-0000-0000-00000D090000}"/>
    <cellStyle name="Comma 4 2 6 8 2" xfId="6998" xr:uid="{00000000-0005-0000-0000-00000E090000}"/>
    <cellStyle name="Comma 4 2 6 8 2 2" xfId="15493" xr:uid="{0AFDE13A-D6AA-4EF3-8C2B-E603A1B01CA0}"/>
    <cellStyle name="Comma 4 2 6 8 3" xfId="11280" xr:uid="{5A089FBD-EBA0-4AC1-89F6-35FD47F1F1CD}"/>
    <cellStyle name="Comma 4 2 6 9" xfId="4615" xr:uid="{00000000-0005-0000-0000-00000F090000}"/>
    <cellStyle name="Comma 4 2 6 9 2" xfId="13111" xr:uid="{44F09B1C-7E6E-48D8-ABAE-FCEC1C03350F}"/>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94" xr:uid="{033DBFB9-26E3-45BE-9F0C-0408E0A5342D}"/>
    <cellStyle name="Comma 4 3 2 10 3" xfId="11281" xr:uid="{BDDC9AEA-5B10-4919-961E-CE5473EEE437}"/>
    <cellStyle name="Comma 4 3 2 11" xfId="4616" xr:uid="{00000000-0005-0000-0000-000014090000}"/>
    <cellStyle name="Comma 4 3 2 11 2" xfId="13112" xr:uid="{4A09E54F-18FE-42DC-B323-CF1561441AFF}"/>
    <cellStyle name="Comma 4 3 2 12" xfId="8807" xr:uid="{5C5EF314-D0DB-425B-AE7D-D52FEEE90EC1}"/>
    <cellStyle name="Comma 4 3 2 2" xfId="146" xr:uid="{00000000-0005-0000-0000-000015090000}"/>
    <cellStyle name="Comma 4 3 2 2 10" xfId="4617" xr:uid="{00000000-0005-0000-0000-000016090000}"/>
    <cellStyle name="Comma 4 3 2 2 10 2" xfId="13113" xr:uid="{3568E884-7C98-44C1-825E-5DC931504726}"/>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72" xr:uid="{7F616097-616C-4C86-9B28-893C1E7687C8}"/>
    <cellStyle name="Comma 4 3 2 2 2 2 2 3" xfId="11459" xr:uid="{B25A1BF3-5263-40C3-86ED-DC5A53F3B55A}"/>
    <cellStyle name="Comma 4 3 2 2 2 2 3" xfId="5032" xr:uid="{00000000-0005-0000-0000-00001B090000}"/>
    <cellStyle name="Comma 4 3 2 2 2 2 3 2" xfId="13527" xr:uid="{1F5D4925-9CFD-4A88-A278-D9B4746A246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85" xr:uid="{5FA61EA4-1157-4A9B-9363-72064E250C0F}"/>
    <cellStyle name="Comma 4 3 2 2 2 3 2 3" xfId="11872" xr:uid="{57B3FAE9-DEFE-4C88-9956-3662DBCBB6E8}"/>
    <cellStyle name="Comma 4 3 2 2 2 3 3" xfId="5445" xr:uid="{00000000-0005-0000-0000-00001F090000}"/>
    <cellStyle name="Comma 4 3 2 2 2 3 3 2" xfId="13940" xr:uid="{9C077225-5BDD-4352-BD27-3909F98F18F7}"/>
    <cellStyle name="Comma 4 3 2 2 2 3 4" xfId="9727" xr:uid="{C956B751-ED8F-4B45-B09F-412AEE0587F7}"/>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98" xr:uid="{CDEEEC47-A13C-4E51-ADCB-AA6705DAE798}"/>
    <cellStyle name="Comma 4 3 2 2 2 4 2 3" xfId="12285" xr:uid="{0E77330B-554F-4F2C-92D0-36AB0E51CB37}"/>
    <cellStyle name="Comma 4 3 2 2 2 4 3" xfId="5858" xr:uid="{00000000-0005-0000-0000-000023090000}"/>
    <cellStyle name="Comma 4 3 2 2 2 4 3 2" xfId="14353" xr:uid="{2CFF3C3D-D8C6-43BB-BD27-9B9CC449F8BD}"/>
    <cellStyle name="Comma 4 3 2 2 2 4 4" xfId="10140" xr:uid="{81B7E5F6-B9EB-4A8D-9503-E79E9D33DBDB}"/>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911" xr:uid="{67357090-1309-43D1-8E6D-B3D576774BF0}"/>
    <cellStyle name="Comma 4 3 2 2 2 5 2 3" xfId="12698" xr:uid="{63649319-CE1F-4D77-BBD5-6326CC8088E5}"/>
    <cellStyle name="Comma 4 3 2 2 2 5 3" xfId="6271" xr:uid="{00000000-0005-0000-0000-000027090000}"/>
    <cellStyle name="Comma 4 3 2 2 2 5 3 2" xfId="14766" xr:uid="{8EC75D63-5010-4944-AFA4-DD7D37A47C39}"/>
    <cellStyle name="Comma 4 3 2 2 2 5 4" xfId="10553" xr:uid="{A4F0FBD5-D2D1-4076-ABCC-359CCA7618E6}"/>
    <cellStyle name="Comma 4 3 2 2 2 6" xfId="2400" xr:uid="{00000000-0005-0000-0000-000028090000}"/>
    <cellStyle name="Comma 4 3 2 2 2 6 2" xfId="6684" xr:uid="{00000000-0005-0000-0000-000029090000}"/>
    <cellStyle name="Comma 4 3 2 2 2 6 2 2" xfId="15179" xr:uid="{24CDFCC7-78AC-48D1-88AC-033D3A524064}"/>
    <cellStyle name="Comma 4 3 2 2 2 6 3" xfId="10966" xr:uid="{CEFE8399-EFA5-4788-8EF5-0B9465B9C266}"/>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96" xr:uid="{193B0031-5C94-4701-897C-DAC178DB7866}"/>
    <cellStyle name="Comma 4 3 2 2 2 8 3" xfId="11283" xr:uid="{83CEC7FF-D138-46AF-870F-9AFAFA3DD9D6}"/>
    <cellStyle name="Comma 4 3 2 2 2 9" xfId="4618" xr:uid="{00000000-0005-0000-0000-00002D090000}"/>
    <cellStyle name="Comma 4 3 2 2 2 9 2" xfId="13114" xr:uid="{3E4CE306-17EB-4C3D-9BFF-B4D547EB60E8}"/>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71" xr:uid="{2E7E4E3D-28B9-4B46-942A-E6C9003E7EC8}"/>
    <cellStyle name="Comma 4 3 2 2 3 2 3" xfId="11458" xr:uid="{8BDFD9CD-9232-423E-A31A-D871BE047FF5}"/>
    <cellStyle name="Comma 4 3 2 2 3 3" xfId="5031" xr:uid="{00000000-0005-0000-0000-000031090000}"/>
    <cellStyle name="Comma 4 3 2 2 3 3 2" xfId="13526" xr:uid="{1203360B-7FBE-4B73-8BFE-C4EAADA2BD7E}"/>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84" xr:uid="{F61B7D67-0ACC-46A6-82DB-21A8693F6D43}"/>
    <cellStyle name="Comma 4 3 2 2 4 2 3" xfId="11871" xr:uid="{18AB8163-CE21-4ED4-BF03-31286EC2FD58}"/>
    <cellStyle name="Comma 4 3 2 2 4 3" xfId="5444" xr:uid="{00000000-0005-0000-0000-000035090000}"/>
    <cellStyle name="Comma 4 3 2 2 4 3 2" xfId="13939" xr:uid="{14FA420A-255A-4950-8446-2B112BBEE413}"/>
    <cellStyle name="Comma 4 3 2 2 4 4" xfId="9726" xr:uid="{B06C8783-D5E4-459D-A7F0-CE9EF4AE8252}"/>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97" xr:uid="{5FE5F20F-2A07-4349-991A-40FB7D304923}"/>
    <cellStyle name="Comma 4 3 2 2 5 2 3" xfId="12284" xr:uid="{6E84B22C-0DAC-4528-ADF0-190EE4638A2E}"/>
    <cellStyle name="Comma 4 3 2 2 5 3" xfId="5857" xr:uid="{00000000-0005-0000-0000-000039090000}"/>
    <cellStyle name="Comma 4 3 2 2 5 3 2" xfId="14352" xr:uid="{4927B3CC-4B45-41B6-8F8C-C9E9C1AC43BA}"/>
    <cellStyle name="Comma 4 3 2 2 5 4" xfId="10139" xr:uid="{BB57331B-0B4C-4EC1-B475-DDDAB621D765}"/>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910" xr:uid="{2B27509C-4978-4C1E-9108-19BC87B0A9A4}"/>
    <cellStyle name="Comma 4 3 2 2 6 2 3" xfId="12697" xr:uid="{D8B658A8-1AF8-44EA-8223-0E944193C3FB}"/>
    <cellStyle name="Comma 4 3 2 2 6 3" xfId="6270" xr:uid="{00000000-0005-0000-0000-00003D090000}"/>
    <cellStyle name="Comma 4 3 2 2 6 3 2" xfId="14765" xr:uid="{C368A358-2671-4E8D-838E-33FAB0BF7428}"/>
    <cellStyle name="Comma 4 3 2 2 6 4" xfId="10552" xr:uid="{05FCD8F6-70DE-4D7F-B95C-51D5397E3AF0}"/>
    <cellStyle name="Comma 4 3 2 2 7" xfId="2399" xr:uid="{00000000-0005-0000-0000-00003E090000}"/>
    <cellStyle name="Comma 4 3 2 2 7 2" xfId="6683" xr:uid="{00000000-0005-0000-0000-00003F090000}"/>
    <cellStyle name="Comma 4 3 2 2 7 2 2" xfId="15178" xr:uid="{4A305D38-F293-4503-B83D-674FC38712A0}"/>
    <cellStyle name="Comma 4 3 2 2 7 3" xfId="10965" xr:uid="{DACB030F-70F2-4624-A008-42B35A449E5D}"/>
    <cellStyle name="Comma 4 3 2 2 8" xfId="2364" xr:uid="{00000000-0005-0000-0000-000040090000}"/>
    <cellStyle name="Comma 4 3 2 2 9" xfId="2777" xr:uid="{00000000-0005-0000-0000-000041090000}"/>
    <cellStyle name="Comma 4 3 2 2 9 2" xfId="7000" xr:uid="{00000000-0005-0000-0000-000042090000}"/>
    <cellStyle name="Comma 4 3 2 2 9 2 2" xfId="15495" xr:uid="{BE67041B-4389-4FB8-8EAF-13B9383926C1}"/>
    <cellStyle name="Comma 4 3 2 2 9 3" xfId="11282" xr:uid="{B2787C40-9D02-4E99-BD55-FDF4B930B046}"/>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73" xr:uid="{B0476611-BDB0-4BB4-8D73-10220E5C11A9}"/>
    <cellStyle name="Comma 4 3 2 3 2 2 3" xfId="11460" xr:uid="{8B74440E-A91F-4276-82E4-33A275FA5DA6}"/>
    <cellStyle name="Comma 4 3 2 3 2 3" xfId="5033" xr:uid="{00000000-0005-0000-0000-000047090000}"/>
    <cellStyle name="Comma 4 3 2 3 2 3 2" xfId="13528" xr:uid="{1D0A8F74-4659-4F6F-AB42-4F6FA496C979}"/>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86" xr:uid="{09B19D07-7A2E-4DE4-9E55-AE45E6CDBFCF}"/>
    <cellStyle name="Comma 4 3 2 3 3 2 3" xfId="11873" xr:uid="{17FE8B15-5F54-4A4B-A02E-2A910F84B72A}"/>
    <cellStyle name="Comma 4 3 2 3 3 3" xfId="5446" xr:uid="{00000000-0005-0000-0000-00004B090000}"/>
    <cellStyle name="Comma 4 3 2 3 3 3 2" xfId="13941" xr:uid="{4E330CC4-7394-49F2-99BD-84F756FAB895}"/>
    <cellStyle name="Comma 4 3 2 3 3 4" xfId="9728" xr:uid="{1B7E8C33-2E9E-4D2E-A44F-91360EC15164}"/>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99" xr:uid="{D9C8E508-644D-4F80-8F74-8030A5EC975A}"/>
    <cellStyle name="Comma 4 3 2 3 4 2 3" xfId="12286" xr:uid="{6A21F2ED-B2F0-4E4C-A3F5-56F501D703BC}"/>
    <cellStyle name="Comma 4 3 2 3 4 3" xfId="5859" xr:uid="{00000000-0005-0000-0000-00004F090000}"/>
    <cellStyle name="Comma 4 3 2 3 4 3 2" xfId="14354" xr:uid="{309B0502-6674-45B4-AC70-7B2C6DB8A38D}"/>
    <cellStyle name="Comma 4 3 2 3 4 4" xfId="10141" xr:uid="{FEBEA318-D7AE-4F30-A2C3-1A89E1C241A6}"/>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912" xr:uid="{A51C7BA2-E3A9-4A77-808E-1797E5600733}"/>
    <cellStyle name="Comma 4 3 2 3 5 2 3" xfId="12699" xr:uid="{EA490A4E-33DE-4E49-A438-CE94C35DB115}"/>
    <cellStyle name="Comma 4 3 2 3 5 3" xfId="6272" xr:uid="{00000000-0005-0000-0000-000053090000}"/>
    <cellStyle name="Comma 4 3 2 3 5 3 2" xfId="14767" xr:uid="{AC348C3A-1EF0-4EB4-BF21-48019D2EA7CB}"/>
    <cellStyle name="Comma 4 3 2 3 5 4" xfId="10554" xr:uid="{E47F4B09-6E55-4B36-82E3-EEA3CFF30740}"/>
    <cellStyle name="Comma 4 3 2 3 6" xfId="2401" xr:uid="{00000000-0005-0000-0000-000054090000}"/>
    <cellStyle name="Comma 4 3 2 3 6 2" xfId="6685" xr:uid="{00000000-0005-0000-0000-000055090000}"/>
    <cellStyle name="Comma 4 3 2 3 6 2 2" xfId="15180" xr:uid="{9A2F14B1-80F4-4462-8880-0C2CAB457276}"/>
    <cellStyle name="Comma 4 3 2 3 6 3" xfId="10967" xr:uid="{602AE8D8-2C59-417C-8544-D0FC21D0EEFC}"/>
    <cellStyle name="Comma 4 3 2 3 7" xfId="2362" xr:uid="{00000000-0005-0000-0000-000056090000}"/>
    <cellStyle name="Comma 4 3 2 3 8" xfId="2779" xr:uid="{00000000-0005-0000-0000-000057090000}"/>
    <cellStyle name="Comma 4 3 2 3 8 2" xfId="7002" xr:uid="{00000000-0005-0000-0000-000058090000}"/>
    <cellStyle name="Comma 4 3 2 3 8 2 2" xfId="15497" xr:uid="{05AE29EC-A166-4B8A-8AA3-1D6AA3AEDCD3}"/>
    <cellStyle name="Comma 4 3 2 3 8 3" xfId="11284" xr:uid="{53086708-1023-4445-8C93-C06F09DDE3A1}"/>
    <cellStyle name="Comma 4 3 2 3 9" xfId="4619" xr:uid="{00000000-0005-0000-0000-000059090000}"/>
    <cellStyle name="Comma 4 3 2 3 9 2" xfId="13115" xr:uid="{A2517E83-DD15-400D-B83A-5967F1586E31}"/>
    <cellStyle name="Comma 4 3 2 4" xfId="682" xr:uid="{00000000-0005-0000-0000-00005A090000}"/>
    <cellStyle name="Comma 4 3 2 4 2" xfId="2953" xr:uid="{00000000-0005-0000-0000-00005B090000}"/>
    <cellStyle name="Comma 4 3 2 4 2 2" xfId="7175" xr:uid="{00000000-0005-0000-0000-00005C090000}"/>
    <cellStyle name="Comma 4 3 2 4 2 2 2" xfId="15670" xr:uid="{78A4571D-917D-430E-8E46-12E3ADDFE860}"/>
    <cellStyle name="Comma 4 3 2 4 2 3" xfId="11457" xr:uid="{05E82306-3D9A-46AB-999A-BD567CEE2485}"/>
    <cellStyle name="Comma 4 3 2 4 3" xfId="5030" xr:uid="{00000000-0005-0000-0000-00005D090000}"/>
    <cellStyle name="Comma 4 3 2 4 3 2" xfId="13525" xr:uid="{A6C0E6BB-C5CC-4CE1-BB7C-A9D5CF7C1189}"/>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2 2 2" xfId="16083" xr:uid="{C1315351-7923-4308-A008-B067709796E1}"/>
    <cellStyle name="Comma 4 3 2 5 2 3" xfId="11870" xr:uid="{4AB04BC5-A69B-46BC-A696-57129CCB92BE}"/>
    <cellStyle name="Comma 4 3 2 5 3" xfId="5443" xr:uid="{00000000-0005-0000-0000-000061090000}"/>
    <cellStyle name="Comma 4 3 2 5 3 2" xfId="13938" xr:uid="{9127199D-3E2B-41DE-90B3-95E103944BEB}"/>
    <cellStyle name="Comma 4 3 2 5 4" xfId="9725" xr:uid="{D7AB6B90-D530-46EA-B016-0A1B9F387325}"/>
    <cellStyle name="Comma 4 3 2 6" xfId="1549" xr:uid="{00000000-0005-0000-0000-000062090000}"/>
    <cellStyle name="Comma 4 3 2 6 2" xfId="3779" xr:uid="{00000000-0005-0000-0000-000063090000}"/>
    <cellStyle name="Comma 4 3 2 6 2 2" xfId="8001" xr:uid="{00000000-0005-0000-0000-000064090000}"/>
    <cellStyle name="Comma 4 3 2 6 2 2 2" xfId="16496" xr:uid="{FAB82BF2-E35C-43C0-8C53-2C659E4BCFDA}"/>
    <cellStyle name="Comma 4 3 2 6 2 3" xfId="12283" xr:uid="{1BDA0AA7-F597-4774-9460-4A04419F3C07}"/>
    <cellStyle name="Comma 4 3 2 6 3" xfId="5856" xr:uid="{00000000-0005-0000-0000-000065090000}"/>
    <cellStyle name="Comma 4 3 2 6 3 2" xfId="14351" xr:uid="{407001FD-9B4B-4C85-BF2C-D2146FAF0336}"/>
    <cellStyle name="Comma 4 3 2 6 4" xfId="10138" xr:uid="{90FF6EAE-20DF-46A5-85A7-D28E1542B29C}"/>
    <cellStyle name="Comma 4 3 2 7" xfId="1963" xr:uid="{00000000-0005-0000-0000-000066090000}"/>
    <cellStyle name="Comma 4 3 2 7 2" xfId="4192" xr:uid="{00000000-0005-0000-0000-000067090000}"/>
    <cellStyle name="Comma 4 3 2 7 2 2" xfId="8414" xr:uid="{00000000-0005-0000-0000-000068090000}"/>
    <cellStyle name="Comma 4 3 2 7 2 2 2" xfId="16909" xr:uid="{BAD127B3-4541-4624-B668-A5CDAD77F541}"/>
    <cellStyle name="Comma 4 3 2 7 2 3" xfId="12696" xr:uid="{2157C183-AC12-4015-8153-25C6478BBC9C}"/>
    <cellStyle name="Comma 4 3 2 7 3" xfId="6269" xr:uid="{00000000-0005-0000-0000-000069090000}"/>
    <cellStyle name="Comma 4 3 2 7 3 2" xfId="14764" xr:uid="{CD40D3D7-8662-471F-BC52-02FE2FDAB067}"/>
    <cellStyle name="Comma 4 3 2 7 4" xfId="10551" xr:uid="{A6AD39A6-1706-4431-84ED-73B3FC0D876D}"/>
    <cellStyle name="Comma 4 3 2 8" xfId="2398" xr:uid="{00000000-0005-0000-0000-00006A090000}"/>
    <cellStyle name="Comma 4 3 2 8 2" xfId="6682" xr:uid="{00000000-0005-0000-0000-00006B090000}"/>
    <cellStyle name="Comma 4 3 2 8 2 2" xfId="15177" xr:uid="{88E71CDB-F3E2-4E5E-A36D-170875B56A2C}"/>
    <cellStyle name="Comma 4 3 2 8 3" xfId="10964" xr:uid="{DB159393-FBAE-4BB7-8F10-F11FC23258FD}"/>
    <cellStyle name="Comma 4 3 2 9" xfId="2365" xr:uid="{00000000-0005-0000-0000-00006C090000}"/>
    <cellStyle name="Comma 4 3 3" xfId="149" xr:uid="{00000000-0005-0000-0000-00006D090000}"/>
    <cellStyle name="Comma 4 3 3 10" xfId="4620" xr:uid="{00000000-0005-0000-0000-00006E090000}"/>
    <cellStyle name="Comma 4 3 3 10 2" xfId="13116" xr:uid="{4C48FB58-3688-4C48-AC55-A93B62BA80F9}"/>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75" xr:uid="{D11BFE8B-A013-4B2B-8B35-C3E5D8DD8812}"/>
    <cellStyle name="Comma 4 3 3 2 2 2 3" xfId="11462" xr:uid="{9F2C5E5D-D8C4-4C9D-BDC9-580B0B946E71}"/>
    <cellStyle name="Comma 4 3 3 2 2 3" xfId="5035" xr:uid="{00000000-0005-0000-0000-000073090000}"/>
    <cellStyle name="Comma 4 3 3 2 2 3 2" xfId="13530" xr:uid="{4975D570-94E5-4FA7-8AED-7E10A77D7941}"/>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88" xr:uid="{DFB177B5-6F84-461A-AC0C-806D4DFCB1B7}"/>
    <cellStyle name="Comma 4 3 3 2 3 2 3" xfId="11875" xr:uid="{C72A1F6F-941B-49DA-8870-FA4F77BD87D4}"/>
    <cellStyle name="Comma 4 3 3 2 3 3" xfId="5448" xr:uid="{00000000-0005-0000-0000-000077090000}"/>
    <cellStyle name="Comma 4 3 3 2 3 3 2" xfId="13943" xr:uid="{6FDD9D03-DB22-47BA-93C8-2B26C828FA35}"/>
    <cellStyle name="Comma 4 3 3 2 3 4" xfId="9730" xr:uid="{005D20D5-DFA8-46CC-9150-40F8E0F204E8}"/>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501" xr:uid="{706374FE-F240-4530-9A72-BB358877FCF1}"/>
    <cellStyle name="Comma 4 3 3 2 4 2 3" xfId="12288" xr:uid="{CA76A207-9B7B-4053-B66D-5DBEEFD2B172}"/>
    <cellStyle name="Comma 4 3 3 2 4 3" xfId="5861" xr:uid="{00000000-0005-0000-0000-00007B090000}"/>
    <cellStyle name="Comma 4 3 3 2 4 3 2" xfId="14356" xr:uid="{798E95B5-DF75-4D82-AF9B-607C6299DD7A}"/>
    <cellStyle name="Comma 4 3 3 2 4 4" xfId="10143" xr:uid="{E2A9C633-DECF-4A8C-BC90-AE898136A9B7}"/>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914" xr:uid="{B22814D8-88A7-4B0E-887D-8ABC9B656026}"/>
    <cellStyle name="Comma 4 3 3 2 5 2 3" xfId="12701" xr:uid="{4E56037C-95F4-4222-8294-591FF6369A1F}"/>
    <cellStyle name="Comma 4 3 3 2 5 3" xfId="6274" xr:uid="{00000000-0005-0000-0000-00007F090000}"/>
    <cellStyle name="Comma 4 3 3 2 5 3 2" xfId="14769" xr:uid="{4114D9F8-B8EF-47F1-A69E-0C39255DBBD0}"/>
    <cellStyle name="Comma 4 3 3 2 5 4" xfId="10556" xr:uid="{AC93FD7F-C6A1-4EAA-846E-4AC05DC67650}"/>
    <cellStyle name="Comma 4 3 3 2 6" xfId="2403" xr:uid="{00000000-0005-0000-0000-000080090000}"/>
    <cellStyle name="Comma 4 3 3 2 6 2" xfId="6687" xr:uid="{00000000-0005-0000-0000-000081090000}"/>
    <cellStyle name="Comma 4 3 3 2 6 2 2" xfId="15182" xr:uid="{99CDF3D2-23D0-4B9E-BA0F-AD4DD264E4EA}"/>
    <cellStyle name="Comma 4 3 3 2 6 3" xfId="10969" xr:uid="{6EB6A1CA-7247-4CBC-A0C9-70E4BDA78C38}"/>
    <cellStyle name="Comma 4 3 3 2 7" xfId="2360" xr:uid="{00000000-0005-0000-0000-000082090000}"/>
    <cellStyle name="Comma 4 3 3 2 8" xfId="2781" xr:uid="{00000000-0005-0000-0000-000083090000}"/>
    <cellStyle name="Comma 4 3 3 2 8 2" xfId="7004" xr:uid="{00000000-0005-0000-0000-000084090000}"/>
    <cellStyle name="Comma 4 3 3 2 8 2 2" xfId="15499" xr:uid="{8C00EF2E-5E87-48EB-9567-7D16F0D491A3}"/>
    <cellStyle name="Comma 4 3 3 2 8 3" xfId="11286" xr:uid="{281EB4CE-E7D4-47EE-9F62-51D04F3DD44C}"/>
    <cellStyle name="Comma 4 3 3 2 9" xfId="4621" xr:uid="{00000000-0005-0000-0000-000085090000}"/>
    <cellStyle name="Comma 4 3 3 2 9 2" xfId="13117" xr:uid="{20010AFF-ED23-41D6-8A70-1D6289D667F6}"/>
    <cellStyle name="Comma 4 3 3 3" xfId="686" xr:uid="{00000000-0005-0000-0000-000086090000}"/>
    <cellStyle name="Comma 4 3 3 3 2" xfId="2957" xr:uid="{00000000-0005-0000-0000-000087090000}"/>
    <cellStyle name="Comma 4 3 3 3 2 2" xfId="7179" xr:uid="{00000000-0005-0000-0000-000088090000}"/>
    <cellStyle name="Comma 4 3 3 3 2 2 2" xfId="15674" xr:uid="{D204A0CA-DFC6-4833-BCC2-135AF1A535EF}"/>
    <cellStyle name="Comma 4 3 3 3 2 3" xfId="11461" xr:uid="{1200E43B-FC30-4BE5-9BDC-DAFBDD957A6B}"/>
    <cellStyle name="Comma 4 3 3 3 3" xfId="5034" xr:uid="{00000000-0005-0000-0000-000089090000}"/>
    <cellStyle name="Comma 4 3 3 3 3 2" xfId="13529" xr:uid="{87765D38-95E2-4DB8-849E-0AEB462C619F}"/>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2 2 2" xfId="16087" xr:uid="{2884BFDF-5CF6-4F22-978E-129762349F1D}"/>
    <cellStyle name="Comma 4 3 3 4 2 3" xfId="11874" xr:uid="{804B2C92-181F-4A5C-A41A-B7F6BAC5CF5C}"/>
    <cellStyle name="Comma 4 3 3 4 3" xfId="5447" xr:uid="{00000000-0005-0000-0000-00008D090000}"/>
    <cellStyle name="Comma 4 3 3 4 3 2" xfId="13942" xr:uid="{E3ECCEA6-75C9-4AD6-B8DF-C79C8B763E45}"/>
    <cellStyle name="Comma 4 3 3 4 4" xfId="9729" xr:uid="{00987B00-F98E-4E31-9689-13353AB86704}"/>
    <cellStyle name="Comma 4 3 3 5" xfId="1553" xr:uid="{00000000-0005-0000-0000-00008E090000}"/>
    <cellStyle name="Comma 4 3 3 5 2" xfId="3783" xr:uid="{00000000-0005-0000-0000-00008F090000}"/>
    <cellStyle name="Comma 4 3 3 5 2 2" xfId="8005" xr:uid="{00000000-0005-0000-0000-000090090000}"/>
    <cellStyle name="Comma 4 3 3 5 2 2 2" xfId="16500" xr:uid="{8E1F3A57-1880-46C8-B90E-5BD0EF1FF86C}"/>
    <cellStyle name="Comma 4 3 3 5 2 3" xfId="12287" xr:uid="{12971D7A-00AC-408B-8405-55FD30EC05A1}"/>
    <cellStyle name="Comma 4 3 3 5 3" xfId="5860" xr:uid="{00000000-0005-0000-0000-000091090000}"/>
    <cellStyle name="Comma 4 3 3 5 3 2" xfId="14355" xr:uid="{139E65B8-08EC-496A-9C41-6AC31320B5A5}"/>
    <cellStyle name="Comma 4 3 3 5 4" xfId="10142" xr:uid="{EA584D76-E4D8-4668-885A-3C7A048DCB3C}"/>
    <cellStyle name="Comma 4 3 3 6" xfId="1967" xr:uid="{00000000-0005-0000-0000-000092090000}"/>
    <cellStyle name="Comma 4 3 3 6 2" xfId="4196" xr:uid="{00000000-0005-0000-0000-000093090000}"/>
    <cellStyle name="Comma 4 3 3 6 2 2" xfId="8418" xr:uid="{00000000-0005-0000-0000-000094090000}"/>
    <cellStyle name="Comma 4 3 3 6 2 2 2" xfId="16913" xr:uid="{2859888F-4ABC-457F-9D96-B217ED57B6B1}"/>
    <cellStyle name="Comma 4 3 3 6 2 3" xfId="12700" xr:uid="{33A277A2-94A5-4684-BB72-834CF364282A}"/>
    <cellStyle name="Comma 4 3 3 6 3" xfId="6273" xr:uid="{00000000-0005-0000-0000-000095090000}"/>
    <cellStyle name="Comma 4 3 3 6 3 2" xfId="14768" xr:uid="{663655A8-D7F7-48E3-8AC8-14B0255086F9}"/>
    <cellStyle name="Comma 4 3 3 6 4" xfId="10555" xr:uid="{306A91BD-F6BF-41C6-BE20-1C0280B5A401}"/>
    <cellStyle name="Comma 4 3 3 7" xfId="2402" xr:uid="{00000000-0005-0000-0000-000096090000}"/>
    <cellStyle name="Comma 4 3 3 7 2" xfId="6686" xr:uid="{00000000-0005-0000-0000-000097090000}"/>
    <cellStyle name="Comma 4 3 3 7 2 2" xfId="15181" xr:uid="{12E86BC6-6D92-467A-BFD7-00381D19EFF2}"/>
    <cellStyle name="Comma 4 3 3 7 3" xfId="10968" xr:uid="{04517383-0C68-4C8E-AE57-529793BC5A84}"/>
    <cellStyle name="Comma 4 3 3 8" xfId="2361" xr:uid="{00000000-0005-0000-0000-000098090000}"/>
    <cellStyle name="Comma 4 3 3 9" xfId="2780" xr:uid="{00000000-0005-0000-0000-000099090000}"/>
    <cellStyle name="Comma 4 3 3 9 2" xfId="7003" xr:uid="{00000000-0005-0000-0000-00009A090000}"/>
    <cellStyle name="Comma 4 3 3 9 2 2" xfId="15498" xr:uid="{F0E07EAF-75F5-4336-A095-BDF068D47B81}"/>
    <cellStyle name="Comma 4 3 3 9 3" xfId="11285" xr:uid="{B3743A27-1498-4B5C-9658-0FC4998C186E}"/>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2 2 2" xfId="15676" xr:uid="{D5448CBE-47BC-4C1B-8813-C5927452469D}"/>
    <cellStyle name="Comma 4 3 4 2 2 3" xfId="11463" xr:uid="{FCBF772C-273B-436F-97B1-996D931DAA16}"/>
    <cellStyle name="Comma 4 3 4 2 3" xfId="5036" xr:uid="{00000000-0005-0000-0000-00009F090000}"/>
    <cellStyle name="Comma 4 3 4 2 3 2" xfId="13531" xr:uid="{13066D9E-0305-46AB-B353-EA650124F556}"/>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2 2 2" xfId="16089" xr:uid="{84A8DC56-FDB4-4795-AD38-DA56F377ECA3}"/>
    <cellStyle name="Comma 4 3 4 3 2 3" xfId="11876" xr:uid="{A19D7F37-CC1A-4225-9A32-871BB1241767}"/>
    <cellStyle name="Comma 4 3 4 3 3" xfId="5449" xr:uid="{00000000-0005-0000-0000-0000A3090000}"/>
    <cellStyle name="Comma 4 3 4 3 3 2" xfId="13944" xr:uid="{4ECCCF82-968A-4558-8D7C-2B70CA16E98B}"/>
    <cellStyle name="Comma 4 3 4 3 4" xfId="9731" xr:uid="{DCEC693B-5F02-4ABB-B51B-52402BADAD43}"/>
    <cellStyle name="Comma 4 3 4 4" xfId="1555" xr:uid="{00000000-0005-0000-0000-0000A4090000}"/>
    <cellStyle name="Comma 4 3 4 4 2" xfId="3785" xr:uid="{00000000-0005-0000-0000-0000A5090000}"/>
    <cellStyle name="Comma 4 3 4 4 2 2" xfId="8007" xr:uid="{00000000-0005-0000-0000-0000A6090000}"/>
    <cellStyle name="Comma 4 3 4 4 2 2 2" xfId="16502" xr:uid="{CCDB77B8-1D56-4052-831B-92B4FF6AE37F}"/>
    <cellStyle name="Comma 4 3 4 4 2 3" xfId="12289" xr:uid="{879C2F85-A487-42E3-A312-930F04D2EF0C}"/>
    <cellStyle name="Comma 4 3 4 4 3" xfId="5862" xr:uid="{00000000-0005-0000-0000-0000A7090000}"/>
    <cellStyle name="Comma 4 3 4 4 3 2" xfId="14357" xr:uid="{69E02B8B-719B-4E45-AE8B-F7F874A4F21E}"/>
    <cellStyle name="Comma 4 3 4 4 4" xfId="10144" xr:uid="{9E870F5C-3D1D-4082-B554-0FA2CAFADCEA}"/>
    <cellStyle name="Comma 4 3 4 5" xfId="1969" xr:uid="{00000000-0005-0000-0000-0000A8090000}"/>
    <cellStyle name="Comma 4 3 4 5 2" xfId="4198" xr:uid="{00000000-0005-0000-0000-0000A9090000}"/>
    <cellStyle name="Comma 4 3 4 5 2 2" xfId="8420" xr:uid="{00000000-0005-0000-0000-0000AA090000}"/>
    <cellStyle name="Comma 4 3 4 5 2 2 2" xfId="16915" xr:uid="{CE343AAF-1981-4B1A-9125-9F540A2C9FDD}"/>
    <cellStyle name="Comma 4 3 4 5 2 3" xfId="12702" xr:uid="{F9D882E1-E749-41DF-BE4D-0CB378C1A42A}"/>
    <cellStyle name="Comma 4 3 4 5 3" xfId="6275" xr:uid="{00000000-0005-0000-0000-0000AB090000}"/>
    <cellStyle name="Comma 4 3 4 5 3 2" xfId="14770" xr:uid="{E6046193-BAA8-4757-89C9-53DE880590FE}"/>
    <cellStyle name="Comma 4 3 4 5 4" xfId="10557" xr:uid="{815B59AC-F9D5-4F83-9E46-45BECE77544F}"/>
    <cellStyle name="Comma 4 3 4 6" xfId="2404" xr:uid="{00000000-0005-0000-0000-0000AC090000}"/>
    <cellStyle name="Comma 4 3 4 6 2" xfId="6688" xr:uid="{00000000-0005-0000-0000-0000AD090000}"/>
    <cellStyle name="Comma 4 3 4 6 2 2" xfId="15183" xr:uid="{C7676F0C-4040-4A58-9201-0E8FA68A059D}"/>
    <cellStyle name="Comma 4 3 4 6 3" xfId="10970" xr:uid="{6BAB081E-4614-406D-B509-C371FCE39BD8}"/>
    <cellStyle name="Comma 4 3 4 7" xfId="2700" xr:uid="{00000000-0005-0000-0000-0000AE090000}"/>
    <cellStyle name="Comma 4 3 4 8" xfId="2782" xr:uid="{00000000-0005-0000-0000-0000AF090000}"/>
    <cellStyle name="Comma 4 3 4 8 2" xfId="7005" xr:uid="{00000000-0005-0000-0000-0000B0090000}"/>
    <cellStyle name="Comma 4 3 4 8 2 2" xfId="15500" xr:uid="{EFF0B563-8609-4B81-B85C-E021A387C009}"/>
    <cellStyle name="Comma 4 3 4 8 3" xfId="11287" xr:uid="{60D65FE9-8180-4DA3-8FCA-61C7D68C95B6}"/>
    <cellStyle name="Comma 4 3 4 9" xfId="4622" xr:uid="{00000000-0005-0000-0000-0000B1090000}"/>
    <cellStyle name="Comma 4 3 4 9 2" xfId="13118" xr:uid="{6855768E-5340-4953-A251-F65AE9A0D7B8}"/>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2 2 2" xfId="15677" xr:uid="{44B44A8D-8300-4688-A8C8-32B626973464}"/>
    <cellStyle name="Comma 4 3 5 2 2 3" xfId="11464" xr:uid="{A9A34192-DA80-49B0-9498-4591BAB22791}"/>
    <cellStyle name="Comma 4 3 5 2 3" xfId="5037" xr:uid="{00000000-0005-0000-0000-0000B6090000}"/>
    <cellStyle name="Comma 4 3 5 2 3 2" xfId="13532" xr:uid="{304C34BA-3057-47E7-A7A8-A298C78CCB93}"/>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2 2 2" xfId="16090" xr:uid="{DEAD667B-5651-469C-AD6A-A64E59FD1E17}"/>
    <cellStyle name="Comma 4 3 5 3 2 3" xfId="11877" xr:uid="{B468DA50-A515-46FB-AF56-FDE34B038F1B}"/>
    <cellStyle name="Comma 4 3 5 3 3" xfId="5450" xr:uid="{00000000-0005-0000-0000-0000BA090000}"/>
    <cellStyle name="Comma 4 3 5 3 3 2" xfId="13945" xr:uid="{5477AE10-D602-444C-A17B-9D0C3941A191}"/>
    <cellStyle name="Comma 4 3 5 3 4" xfId="9732" xr:uid="{650A86B9-A60D-4C61-95F5-CD72AA080839}"/>
    <cellStyle name="Comma 4 3 5 4" xfId="1556" xr:uid="{00000000-0005-0000-0000-0000BB090000}"/>
    <cellStyle name="Comma 4 3 5 4 2" xfId="3786" xr:uid="{00000000-0005-0000-0000-0000BC090000}"/>
    <cellStyle name="Comma 4 3 5 4 2 2" xfId="8008" xr:uid="{00000000-0005-0000-0000-0000BD090000}"/>
    <cellStyle name="Comma 4 3 5 4 2 2 2" xfId="16503" xr:uid="{E78688B9-89F3-4400-BA5A-C170E38B6B68}"/>
    <cellStyle name="Comma 4 3 5 4 2 3" xfId="12290" xr:uid="{96FEDEBB-0936-4EE4-AAE8-82CE448F4E8E}"/>
    <cellStyle name="Comma 4 3 5 4 3" xfId="5863" xr:uid="{00000000-0005-0000-0000-0000BE090000}"/>
    <cellStyle name="Comma 4 3 5 4 3 2" xfId="14358" xr:uid="{CB4E6535-6513-42D2-9A55-B57BF794A3FD}"/>
    <cellStyle name="Comma 4 3 5 4 4" xfId="10145" xr:uid="{BBD2FDE0-37D0-4DCB-AA6D-EE9B07E3F8A8}"/>
    <cellStyle name="Comma 4 3 5 5" xfId="1970" xr:uid="{00000000-0005-0000-0000-0000BF090000}"/>
    <cellStyle name="Comma 4 3 5 5 2" xfId="4199" xr:uid="{00000000-0005-0000-0000-0000C0090000}"/>
    <cellStyle name="Comma 4 3 5 5 2 2" xfId="8421" xr:uid="{00000000-0005-0000-0000-0000C1090000}"/>
    <cellStyle name="Comma 4 3 5 5 2 2 2" xfId="16916" xr:uid="{8BEE1879-9298-49EB-B1C1-6374A3741A66}"/>
    <cellStyle name="Comma 4 3 5 5 2 3" xfId="12703" xr:uid="{AF8275E7-831B-49BC-9440-585DBEA7914F}"/>
    <cellStyle name="Comma 4 3 5 5 3" xfId="6276" xr:uid="{00000000-0005-0000-0000-0000C2090000}"/>
    <cellStyle name="Comma 4 3 5 5 3 2" xfId="14771" xr:uid="{D99FF23E-2A14-48B3-9174-3F51D4C7699A}"/>
    <cellStyle name="Comma 4 3 5 5 4" xfId="10558" xr:uid="{38FFAC03-7637-4E88-9C5A-808A09843796}"/>
    <cellStyle name="Comma 4 3 5 6" xfId="2405" xr:uid="{00000000-0005-0000-0000-0000C3090000}"/>
    <cellStyle name="Comma 4 3 5 6 2" xfId="6689" xr:uid="{00000000-0005-0000-0000-0000C4090000}"/>
    <cellStyle name="Comma 4 3 5 6 2 2" xfId="15184" xr:uid="{5B7D98C6-CF44-474A-8A32-E8E01CF88C85}"/>
    <cellStyle name="Comma 4 3 5 6 3" xfId="10971" xr:uid="{A8CF2CB4-C8E3-45D2-BEFF-B7653BF4186F}"/>
    <cellStyle name="Comma 4 3 5 7" xfId="2701" xr:uid="{00000000-0005-0000-0000-0000C5090000}"/>
    <cellStyle name="Comma 4 3 5 8" xfId="2783" xr:uid="{00000000-0005-0000-0000-0000C6090000}"/>
    <cellStyle name="Comma 4 3 5 8 2" xfId="7006" xr:uid="{00000000-0005-0000-0000-0000C7090000}"/>
    <cellStyle name="Comma 4 3 5 8 2 2" xfId="15501" xr:uid="{E4866C34-81A3-4376-AF73-1A6984A9A4F9}"/>
    <cellStyle name="Comma 4 3 5 8 3" xfId="11288" xr:uid="{BE5EE028-9D76-4559-AD13-40784A493EF4}"/>
    <cellStyle name="Comma 4 3 5 9" xfId="4623" xr:uid="{00000000-0005-0000-0000-0000C8090000}"/>
    <cellStyle name="Comma 4 3 5 9 2" xfId="13119" xr:uid="{2225C4D1-2130-43F3-B626-BA1DB4D6786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0 2 2" xfId="15502" xr:uid="{0A02B3EC-4BB1-488E-9B41-5BB18E890F36}"/>
    <cellStyle name="Comma 4 4 10 3" xfId="11289" xr:uid="{AAA716F5-5D76-4DA1-BBD8-2D4007A3296E}"/>
    <cellStyle name="Comma 4 4 11" xfId="4624" xr:uid="{00000000-0005-0000-0000-0000CC090000}"/>
    <cellStyle name="Comma 4 4 11 2" xfId="13120" xr:uid="{F4A1B039-0743-44BF-86DD-52DBD59A3E93}"/>
    <cellStyle name="Comma 4 4 12" xfId="8804" xr:uid="{A2BB6322-7771-45CD-845C-77E2FE03AC7A}"/>
    <cellStyle name="Comma 4 4 2" xfId="154" xr:uid="{00000000-0005-0000-0000-0000CD090000}"/>
    <cellStyle name="Comma 4 4 2 10" xfId="4625" xr:uid="{00000000-0005-0000-0000-0000CE090000}"/>
    <cellStyle name="Comma 4 4 2 10 2" xfId="13121" xr:uid="{F826E7DC-307F-4846-8A76-F376E513F88D}"/>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80" xr:uid="{A97889AA-1857-4327-BAB4-4BDB4004C49B}"/>
    <cellStyle name="Comma 4 4 2 2 2 2 3" xfId="11467" xr:uid="{DEF26AFF-22D6-4CE0-88C9-862ADEA19D1D}"/>
    <cellStyle name="Comma 4 4 2 2 2 3" xfId="5040" xr:uid="{00000000-0005-0000-0000-0000D3090000}"/>
    <cellStyle name="Comma 4 4 2 2 2 3 2" xfId="13535" xr:uid="{F56691CE-FEC2-457F-8C45-8634C7D3665E}"/>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93" xr:uid="{EC8C0A5D-46CA-4B9B-9FD7-3792A6786E75}"/>
    <cellStyle name="Comma 4 4 2 2 3 2 3" xfId="11880" xr:uid="{D0AB2476-A205-475F-B4E3-2EA5C77B8302}"/>
    <cellStyle name="Comma 4 4 2 2 3 3" xfId="5453" xr:uid="{00000000-0005-0000-0000-0000D7090000}"/>
    <cellStyle name="Comma 4 4 2 2 3 3 2" xfId="13948" xr:uid="{30C1E59B-FF27-4231-A5CB-C7523DF9C092}"/>
    <cellStyle name="Comma 4 4 2 2 3 4" xfId="9735" xr:uid="{A1F42006-5D96-4C9B-9412-B517D384F8D1}"/>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506" xr:uid="{3617E40F-5635-4C21-88F2-231A3FFCDC74}"/>
    <cellStyle name="Comma 4 4 2 2 4 2 3" xfId="12293" xr:uid="{40BE98BF-0F9F-4E7E-B442-08D5C8033570}"/>
    <cellStyle name="Comma 4 4 2 2 4 3" xfId="5866" xr:uid="{00000000-0005-0000-0000-0000DB090000}"/>
    <cellStyle name="Comma 4 4 2 2 4 3 2" xfId="14361" xr:uid="{5AD56CB7-E008-4DC9-B558-ED731D56F8C1}"/>
    <cellStyle name="Comma 4 4 2 2 4 4" xfId="10148" xr:uid="{3303A47D-4DF7-40D5-9C5F-9FC59D648912}"/>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919" xr:uid="{1550CF17-AF49-47AB-989F-16B127C4C9FD}"/>
    <cellStyle name="Comma 4 4 2 2 5 2 3" xfId="12706" xr:uid="{19F68BFF-4C28-4AAB-8D4E-74CF4B9815A7}"/>
    <cellStyle name="Comma 4 4 2 2 5 3" xfId="6279" xr:uid="{00000000-0005-0000-0000-0000DF090000}"/>
    <cellStyle name="Comma 4 4 2 2 5 3 2" xfId="14774" xr:uid="{1CD42827-987E-472D-8C82-E83B94A412C2}"/>
    <cellStyle name="Comma 4 4 2 2 5 4" xfId="10561" xr:uid="{ABEF3627-6779-424D-9F5E-0E26E128F59F}"/>
    <cellStyle name="Comma 4 4 2 2 6" xfId="2408" xr:uid="{00000000-0005-0000-0000-0000E0090000}"/>
    <cellStyle name="Comma 4 4 2 2 6 2" xfId="6692" xr:uid="{00000000-0005-0000-0000-0000E1090000}"/>
    <cellStyle name="Comma 4 4 2 2 6 2 2" xfId="15187" xr:uid="{D190F26D-85CC-4700-8C8B-FA9B4490304D}"/>
    <cellStyle name="Comma 4 4 2 2 6 3" xfId="10974" xr:uid="{A773330F-0C5B-4F01-B30E-E4D699AA36CD}"/>
    <cellStyle name="Comma 4 4 2 2 7" xfId="2704" xr:uid="{00000000-0005-0000-0000-0000E2090000}"/>
    <cellStyle name="Comma 4 4 2 2 8" xfId="2786" xr:uid="{00000000-0005-0000-0000-0000E3090000}"/>
    <cellStyle name="Comma 4 4 2 2 8 2" xfId="7009" xr:uid="{00000000-0005-0000-0000-0000E4090000}"/>
    <cellStyle name="Comma 4 4 2 2 8 2 2" xfId="15504" xr:uid="{155F6524-9A30-4383-A4CE-95E1261381F6}"/>
    <cellStyle name="Comma 4 4 2 2 8 3" xfId="11291" xr:uid="{8CE72126-688E-4E41-BAD6-AC85E22C7F5D}"/>
    <cellStyle name="Comma 4 4 2 2 9" xfId="4626" xr:uid="{00000000-0005-0000-0000-0000E5090000}"/>
    <cellStyle name="Comma 4 4 2 2 9 2" xfId="13122" xr:uid="{60B4C30E-9B41-45CF-91C5-882C6D9059B4}"/>
    <cellStyle name="Comma 4 4 2 3" xfId="691" xr:uid="{00000000-0005-0000-0000-0000E6090000}"/>
    <cellStyle name="Comma 4 4 2 3 2" xfId="2962" xr:uid="{00000000-0005-0000-0000-0000E7090000}"/>
    <cellStyle name="Comma 4 4 2 3 2 2" xfId="7184" xr:uid="{00000000-0005-0000-0000-0000E8090000}"/>
    <cellStyle name="Comma 4 4 2 3 2 2 2" xfId="15679" xr:uid="{EE9F20A0-3B71-47C5-8835-48BD723F13E4}"/>
    <cellStyle name="Comma 4 4 2 3 2 3" xfId="11466" xr:uid="{9858E637-872B-4F1D-A229-B737776E19A5}"/>
    <cellStyle name="Comma 4 4 2 3 3" xfId="5039" xr:uid="{00000000-0005-0000-0000-0000E9090000}"/>
    <cellStyle name="Comma 4 4 2 3 3 2" xfId="13534" xr:uid="{62B9FF5B-FF2A-40F6-8D29-2C2176F9DF75}"/>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2 2 2" xfId="16092" xr:uid="{15B1304E-67DF-468A-A0E1-06C958E09EBD}"/>
    <cellStyle name="Comma 4 4 2 4 2 3" xfId="11879" xr:uid="{6B50C293-02AC-41ED-9F18-75668B036975}"/>
    <cellStyle name="Comma 4 4 2 4 3" xfId="5452" xr:uid="{00000000-0005-0000-0000-0000ED090000}"/>
    <cellStyle name="Comma 4 4 2 4 3 2" xfId="13947" xr:uid="{B8E68B1A-5CFF-491F-A4F9-AFE6069D7934}"/>
    <cellStyle name="Comma 4 4 2 4 4" xfId="9734" xr:uid="{4F4A71C5-8C86-4CEB-BAB7-A632B64487D2}"/>
    <cellStyle name="Comma 4 4 2 5" xfId="1558" xr:uid="{00000000-0005-0000-0000-0000EE090000}"/>
    <cellStyle name="Comma 4 4 2 5 2" xfId="3788" xr:uid="{00000000-0005-0000-0000-0000EF090000}"/>
    <cellStyle name="Comma 4 4 2 5 2 2" xfId="8010" xr:uid="{00000000-0005-0000-0000-0000F0090000}"/>
    <cellStyle name="Comma 4 4 2 5 2 2 2" xfId="16505" xr:uid="{43412540-BD58-49E6-8DD8-01813C6652AB}"/>
    <cellStyle name="Comma 4 4 2 5 2 3" xfId="12292" xr:uid="{B3AE9DD8-EE8F-44DB-982B-CB68FF1FD698}"/>
    <cellStyle name="Comma 4 4 2 5 3" xfId="5865" xr:uid="{00000000-0005-0000-0000-0000F1090000}"/>
    <cellStyle name="Comma 4 4 2 5 3 2" xfId="14360" xr:uid="{C67CADAC-E3A5-4158-A92A-593443ED6D3A}"/>
    <cellStyle name="Comma 4 4 2 5 4" xfId="10147" xr:uid="{AB41CC67-B51F-4EE8-B2FF-EA8C962AC57B}"/>
    <cellStyle name="Comma 4 4 2 6" xfId="1972" xr:uid="{00000000-0005-0000-0000-0000F2090000}"/>
    <cellStyle name="Comma 4 4 2 6 2" xfId="4201" xr:uid="{00000000-0005-0000-0000-0000F3090000}"/>
    <cellStyle name="Comma 4 4 2 6 2 2" xfId="8423" xr:uid="{00000000-0005-0000-0000-0000F4090000}"/>
    <cellStyle name="Comma 4 4 2 6 2 2 2" xfId="16918" xr:uid="{8F7F80DF-4278-4C63-9BA5-AA5EFDA8FDE3}"/>
    <cellStyle name="Comma 4 4 2 6 2 3" xfId="12705" xr:uid="{CF235EB7-2FEF-4B5F-876A-0618512D9D58}"/>
    <cellStyle name="Comma 4 4 2 6 3" xfId="6278" xr:uid="{00000000-0005-0000-0000-0000F5090000}"/>
    <cellStyle name="Comma 4 4 2 6 3 2" xfId="14773" xr:uid="{C94C77E7-3160-4F81-A37D-32FD2816BE32}"/>
    <cellStyle name="Comma 4 4 2 6 4" xfId="10560" xr:uid="{CACF076B-2069-437B-9076-BCFB23419AA0}"/>
    <cellStyle name="Comma 4 4 2 7" xfId="2407" xr:uid="{00000000-0005-0000-0000-0000F6090000}"/>
    <cellStyle name="Comma 4 4 2 7 2" xfId="6691" xr:uid="{00000000-0005-0000-0000-0000F7090000}"/>
    <cellStyle name="Comma 4 4 2 7 2 2" xfId="15186" xr:uid="{3D74C9F1-E898-49C1-B4C5-7CDEBE9FBC4E}"/>
    <cellStyle name="Comma 4 4 2 7 3" xfId="10973" xr:uid="{187E499B-A831-4A2F-9266-1A4F1DCD4515}"/>
    <cellStyle name="Comma 4 4 2 8" xfId="2703" xr:uid="{00000000-0005-0000-0000-0000F8090000}"/>
    <cellStyle name="Comma 4 4 2 9" xfId="2785" xr:uid="{00000000-0005-0000-0000-0000F9090000}"/>
    <cellStyle name="Comma 4 4 2 9 2" xfId="7008" xr:uid="{00000000-0005-0000-0000-0000FA090000}"/>
    <cellStyle name="Comma 4 4 2 9 2 2" xfId="15503" xr:uid="{7FBDED87-82B8-470C-B22C-D49FA9C05365}"/>
    <cellStyle name="Comma 4 4 2 9 3" xfId="11290" xr:uid="{9FE60ACB-95BE-43D7-AE6F-F589FB91EB47}"/>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2 2 2" xfId="15681" xr:uid="{679E2F71-AB9B-45E3-A967-3D6D929FCD6F}"/>
    <cellStyle name="Comma 4 4 3 2 2 3" xfId="11468" xr:uid="{7FB8B204-EE4A-4773-9680-3802077B37D2}"/>
    <cellStyle name="Comma 4 4 3 2 3" xfId="5041" xr:uid="{00000000-0005-0000-0000-0000FF090000}"/>
    <cellStyle name="Comma 4 4 3 2 3 2" xfId="13536" xr:uid="{F11C25BD-FFB4-4DDE-B1F3-027BF6B49BE4}"/>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2 2 2" xfId="16094" xr:uid="{0D6B1F94-6FDE-48DD-8249-AF6CDC20A2C3}"/>
    <cellStyle name="Comma 4 4 3 3 2 3" xfId="11881" xr:uid="{C96A707C-3809-4BA5-B732-CBAE607C61FE}"/>
    <cellStyle name="Comma 4 4 3 3 3" xfId="5454" xr:uid="{00000000-0005-0000-0000-0000030A0000}"/>
    <cellStyle name="Comma 4 4 3 3 3 2" xfId="13949" xr:uid="{8A8AA272-ACE0-43FD-B994-47F94B1E29F6}"/>
    <cellStyle name="Comma 4 4 3 3 4" xfId="9736" xr:uid="{7A3AEC2D-AF3B-45C4-B919-6F4B49DC804D}"/>
    <cellStyle name="Comma 4 4 3 4" xfId="1560" xr:uid="{00000000-0005-0000-0000-0000040A0000}"/>
    <cellStyle name="Comma 4 4 3 4 2" xfId="3790" xr:uid="{00000000-0005-0000-0000-0000050A0000}"/>
    <cellStyle name="Comma 4 4 3 4 2 2" xfId="8012" xr:uid="{00000000-0005-0000-0000-0000060A0000}"/>
    <cellStyle name="Comma 4 4 3 4 2 2 2" xfId="16507" xr:uid="{BD0ED0A4-3342-4605-BDC8-14219796FC94}"/>
    <cellStyle name="Comma 4 4 3 4 2 3" xfId="12294" xr:uid="{8ABDAA71-652B-4267-A097-B74872F4EB3E}"/>
    <cellStyle name="Comma 4 4 3 4 3" xfId="5867" xr:uid="{00000000-0005-0000-0000-0000070A0000}"/>
    <cellStyle name="Comma 4 4 3 4 3 2" xfId="14362" xr:uid="{ED2FFD77-D5B9-4078-9B2F-F62CC425ECF3}"/>
    <cellStyle name="Comma 4 4 3 4 4" xfId="10149" xr:uid="{F9307225-4731-4A07-AEE4-8C5DD5BB1919}"/>
    <cellStyle name="Comma 4 4 3 5" xfId="1974" xr:uid="{00000000-0005-0000-0000-0000080A0000}"/>
    <cellStyle name="Comma 4 4 3 5 2" xfId="4203" xr:uid="{00000000-0005-0000-0000-0000090A0000}"/>
    <cellStyle name="Comma 4 4 3 5 2 2" xfId="8425" xr:uid="{00000000-0005-0000-0000-00000A0A0000}"/>
    <cellStyle name="Comma 4 4 3 5 2 2 2" xfId="16920" xr:uid="{FECDB5CD-3C41-4ECA-8C4F-E42B853B333C}"/>
    <cellStyle name="Comma 4 4 3 5 2 3" xfId="12707" xr:uid="{AD1E2D83-1C8D-404D-8E8C-F24DFEBFF8CB}"/>
    <cellStyle name="Comma 4 4 3 5 3" xfId="6280" xr:uid="{00000000-0005-0000-0000-00000B0A0000}"/>
    <cellStyle name="Comma 4 4 3 5 3 2" xfId="14775" xr:uid="{E52F9E85-0208-491C-8F77-DD1ADD218A86}"/>
    <cellStyle name="Comma 4 4 3 5 4" xfId="10562" xr:uid="{706C4087-124E-477E-B87B-041B7C7AE8BC}"/>
    <cellStyle name="Comma 4 4 3 6" xfId="2409" xr:uid="{00000000-0005-0000-0000-00000C0A0000}"/>
    <cellStyle name="Comma 4 4 3 6 2" xfId="6693" xr:uid="{00000000-0005-0000-0000-00000D0A0000}"/>
    <cellStyle name="Comma 4 4 3 6 2 2" xfId="15188" xr:uid="{A37CA14C-EF00-432D-8A6F-CC55441EC3EF}"/>
    <cellStyle name="Comma 4 4 3 6 3" xfId="10975" xr:uid="{71C4B9F1-DA4F-414B-A42B-7924B5AD3445}"/>
    <cellStyle name="Comma 4 4 3 7" xfId="2705" xr:uid="{00000000-0005-0000-0000-00000E0A0000}"/>
    <cellStyle name="Comma 4 4 3 8" xfId="2787" xr:uid="{00000000-0005-0000-0000-00000F0A0000}"/>
    <cellStyle name="Comma 4 4 3 8 2" xfId="7010" xr:uid="{00000000-0005-0000-0000-0000100A0000}"/>
    <cellStyle name="Comma 4 4 3 8 2 2" xfId="15505" xr:uid="{6DD88353-FB4E-4F91-A514-3540B1DC2536}"/>
    <cellStyle name="Comma 4 4 3 8 3" xfId="11292" xr:uid="{31771D99-AF59-415C-93DA-17FECBD4CF11}"/>
    <cellStyle name="Comma 4 4 3 9" xfId="4627" xr:uid="{00000000-0005-0000-0000-0000110A0000}"/>
    <cellStyle name="Comma 4 4 3 9 2" xfId="13123" xr:uid="{06161DD9-5221-409B-87BA-A753D7FEA4F1}"/>
    <cellStyle name="Comma 4 4 4" xfId="690" xr:uid="{00000000-0005-0000-0000-0000120A0000}"/>
    <cellStyle name="Comma 4 4 4 2" xfId="2961" xr:uid="{00000000-0005-0000-0000-0000130A0000}"/>
    <cellStyle name="Comma 4 4 4 2 2" xfId="7183" xr:uid="{00000000-0005-0000-0000-0000140A0000}"/>
    <cellStyle name="Comma 4 4 4 2 2 2" xfId="15678" xr:uid="{FA2D3155-6A47-408E-A988-DDE6FBD328C5}"/>
    <cellStyle name="Comma 4 4 4 2 3" xfId="11465" xr:uid="{8CD95657-5162-48D2-8C02-3CDBD681BD9B}"/>
    <cellStyle name="Comma 4 4 4 3" xfId="5038" xr:uid="{00000000-0005-0000-0000-0000150A0000}"/>
    <cellStyle name="Comma 4 4 4 3 2" xfId="13533" xr:uid="{F82D98E8-485E-4E05-A2D6-20991CDB3F9A}"/>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2 2 2" xfId="16091" xr:uid="{C8316519-A7B8-4B51-B227-D4E6690FE3A8}"/>
    <cellStyle name="Comma 4 4 5 2 3" xfId="11878" xr:uid="{D4C5A661-EE22-4150-9953-7674B8E673C6}"/>
    <cellStyle name="Comma 4 4 5 3" xfId="5451" xr:uid="{00000000-0005-0000-0000-0000190A0000}"/>
    <cellStyle name="Comma 4 4 5 3 2" xfId="13946" xr:uid="{17B812E8-3167-42CB-A4C7-68B068C3BF79}"/>
    <cellStyle name="Comma 4 4 5 4" xfId="9733" xr:uid="{8ECC460C-3EDA-41D0-A009-61785BDACC93}"/>
    <cellStyle name="Comma 4 4 6" xfId="1557" xr:uid="{00000000-0005-0000-0000-00001A0A0000}"/>
    <cellStyle name="Comma 4 4 6 2" xfId="3787" xr:uid="{00000000-0005-0000-0000-00001B0A0000}"/>
    <cellStyle name="Comma 4 4 6 2 2" xfId="8009" xr:uid="{00000000-0005-0000-0000-00001C0A0000}"/>
    <cellStyle name="Comma 4 4 6 2 2 2" xfId="16504" xr:uid="{B2BFDE09-2975-485E-9F07-DA72CE146590}"/>
    <cellStyle name="Comma 4 4 6 2 3" xfId="12291" xr:uid="{F12CECAD-3713-4B31-A20D-5689773B3799}"/>
    <cellStyle name="Comma 4 4 6 3" xfId="5864" xr:uid="{00000000-0005-0000-0000-00001D0A0000}"/>
    <cellStyle name="Comma 4 4 6 3 2" xfId="14359" xr:uid="{4E0D2C44-1691-4E0B-8BE5-B1ECC6E26F26}"/>
    <cellStyle name="Comma 4 4 6 4" xfId="10146" xr:uid="{A37A5B97-A078-4842-BDFC-8BCECD7A4053}"/>
    <cellStyle name="Comma 4 4 7" xfId="1971" xr:uid="{00000000-0005-0000-0000-00001E0A0000}"/>
    <cellStyle name="Comma 4 4 7 2" xfId="4200" xr:uid="{00000000-0005-0000-0000-00001F0A0000}"/>
    <cellStyle name="Comma 4 4 7 2 2" xfId="8422" xr:uid="{00000000-0005-0000-0000-0000200A0000}"/>
    <cellStyle name="Comma 4 4 7 2 2 2" xfId="16917" xr:uid="{C5025B1A-D780-49CB-8259-746195D62CED}"/>
    <cellStyle name="Comma 4 4 7 2 3" xfId="12704" xr:uid="{422D58F0-9BB7-4183-84C0-128FAA0FBCD5}"/>
    <cellStyle name="Comma 4 4 7 3" xfId="6277" xr:uid="{00000000-0005-0000-0000-0000210A0000}"/>
    <cellStyle name="Comma 4 4 7 3 2" xfId="14772" xr:uid="{005786C5-66B1-4601-8EF4-4D5976C75146}"/>
    <cellStyle name="Comma 4 4 7 4" xfId="10559" xr:uid="{7CD1D80F-F6AE-440A-95E6-88660CD41BDB}"/>
    <cellStyle name="Comma 4 4 8" xfId="2406" xr:uid="{00000000-0005-0000-0000-0000220A0000}"/>
    <cellStyle name="Comma 4 4 8 2" xfId="6690" xr:uid="{00000000-0005-0000-0000-0000230A0000}"/>
    <cellStyle name="Comma 4 4 8 2 2" xfId="15185" xr:uid="{EC452813-C310-4552-BBD5-58C5DA59A0A9}"/>
    <cellStyle name="Comma 4 4 8 3" xfId="10972" xr:uid="{EBD3F545-36CC-4592-8441-DE651B64EF4B}"/>
    <cellStyle name="Comma 4 4 9" xfId="2702" xr:uid="{00000000-0005-0000-0000-0000240A0000}"/>
    <cellStyle name="Comma 4 5" xfId="157" xr:uid="{00000000-0005-0000-0000-0000250A0000}"/>
    <cellStyle name="Comma 4 5 10" xfId="4628" xr:uid="{00000000-0005-0000-0000-0000260A0000}"/>
    <cellStyle name="Comma 4 5 10 2" xfId="13124" xr:uid="{EE83FBC4-E3B7-4729-A227-5161A397776E}"/>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2 2 2" xfId="15683" xr:uid="{474F3014-D523-447E-8E9B-DE19C4C394CB}"/>
    <cellStyle name="Comma 4 5 2 2 2 3" xfId="11470" xr:uid="{4FA3BEA2-5821-4E6A-8A04-B8411605A9F4}"/>
    <cellStyle name="Comma 4 5 2 2 3" xfId="5043" xr:uid="{00000000-0005-0000-0000-00002B0A0000}"/>
    <cellStyle name="Comma 4 5 2 2 3 2" xfId="13538" xr:uid="{65D9170F-34C3-48F5-BC74-65C47129B1F4}"/>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2 2 2" xfId="16096" xr:uid="{A9E60744-EE51-4D8A-BDA2-E452B31EEED7}"/>
    <cellStyle name="Comma 4 5 2 3 2 3" xfId="11883" xr:uid="{B16F284B-34BB-4E43-8BE4-0C630265DD9C}"/>
    <cellStyle name="Comma 4 5 2 3 3" xfId="5456" xr:uid="{00000000-0005-0000-0000-00002F0A0000}"/>
    <cellStyle name="Comma 4 5 2 3 3 2" xfId="13951" xr:uid="{F952953A-9627-4D1B-8115-F6E833341ABD}"/>
    <cellStyle name="Comma 4 5 2 3 4" xfId="9738" xr:uid="{3894311A-DF7D-48C2-90D2-B2E7A1319773}"/>
    <cellStyle name="Comma 4 5 2 4" xfId="1562" xr:uid="{00000000-0005-0000-0000-0000300A0000}"/>
    <cellStyle name="Comma 4 5 2 4 2" xfId="3792" xr:uid="{00000000-0005-0000-0000-0000310A0000}"/>
    <cellStyle name="Comma 4 5 2 4 2 2" xfId="8014" xr:uid="{00000000-0005-0000-0000-0000320A0000}"/>
    <cellStyle name="Comma 4 5 2 4 2 2 2" xfId="16509" xr:uid="{AC6BC279-FA88-4356-AC43-78E76FC6BFE1}"/>
    <cellStyle name="Comma 4 5 2 4 2 3" xfId="12296" xr:uid="{22363B4D-B0DA-4A8B-A804-B507EA21A6DF}"/>
    <cellStyle name="Comma 4 5 2 4 3" xfId="5869" xr:uid="{00000000-0005-0000-0000-0000330A0000}"/>
    <cellStyle name="Comma 4 5 2 4 3 2" xfId="14364" xr:uid="{25B52713-5805-4BA4-9D67-A6912D29DF5B}"/>
    <cellStyle name="Comma 4 5 2 4 4" xfId="10151" xr:uid="{84EDF068-940B-4D1F-BECC-F7CC3263C18C}"/>
    <cellStyle name="Comma 4 5 2 5" xfId="1976" xr:uid="{00000000-0005-0000-0000-0000340A0000}"/>
    <cellStyle name="Comma 4 5 2 5 2" xfId="4205" xr:uid="{00000000-0005-0000-0000-0000350A0000}"/>
    <cellStyle name="Comma 4 5 2 5 2 2" xfId="8427" xr:uid="{00000000-0005-0000-0000-0000360A0000}"/>
    <cellStyle name="Comma 4 5 2 5 2 2 2" xfId="16922" xr:uid="{0129C581-73DF-48A7-9827-9756597B4371}"/>
    <cellStyle name="Comma 4 5 2 5 2 3" xfId="12709" xr:uid="{ED040B27-FB5E-4911-9CA0-E14A8C7956DD}"/>
    <cellStyle name="Comma 4 5 2 5 3" xfId="6282" xr:uid="{00000000-0005-0000-0000-0000370A0000}"/>
    <cellStyle name="Comma 4 5 2 5 3 2" xfId="14777" xr:uid="{33EDE68E-1A8D-4606-8C47-D13BF89D9AAE}"/>
    <cellStyle name="Comma 4 5 2 5 4" xfId="10564" xr:uid="{FD16E18C-8558-4DF7-ACBD-9DC8E8906266}"/>
    <cellStyle name="Comma 4 5 2 6" xfId="2411" xr:uid="{00000000-0005-0000-0000-0000380A0000}"/>
    <cellStyle name="Comma 4 5 2 6 2" xfId="6695" xr:uid="{00000000-0005-0000-0000-0000390A0000}"/>
    <cellStyle name="Comma 4 5 2 6 2 2" xfId="15190" xr:uid="{11985F61-FEA3-4DA8-8D2E-79864B0519B2}"/>
    <cellStyle name="Comma 4 5 2 6 3" xfId="10977" xr:uid="{9D15ADDC-EC12-4DD7-AD76-9FB8EBD8DDD3}"/>
    <cellStyle name="Comma 4 5 2 7" xfId="2707" xr:uid="{00000000-0005-0000-0000-00003A0A0000}"/>
    <cellStyle name="Comma 4 5 2 8" xfId="2789" xr:uid="{00000000-0005-0000-0000-00003B0A0000}"/>
    <cellStyle name="Comma 4 5 2 8 2" xfId="7012" xr:uid="{00000000-0005-0000-0000-00003C0A0000}"/>
    <cellStyle name="Comma 4 5 2 8 2 2" xfId="15507" xr:uid="{3E5135E1-DD8B-40EE-8286-623EDD9FD4FF}"/>
    <cellStyle name="Comma 4 5 2 8 3" xfId="11294" xr:uid="{926D4FAD-A317-4BBF-8FCB-B1E078B8241A}"/>
    <cellStyle name="Comma 4 5 2 9" xfId="4629" xr:uid="{00000000-0005-0000-0000-00003D0A0000}"/>
    <cellStyle name="Comma 4 5 2 9 2" xfId="13125" xr:uid="{C91E6C51-0565-4B30-96E6-550B90DFF94C}"/>
    <cellStyle name="Comma 4 5 3" xfId="694" xr:uid="{00000000-0005-0000-0000-00003E0A0000}"/>
    <cellStyle name="Comma 4 5 3 2" xfId="2965" xr:uid="{00000000-0005-0000-0000-00003F0A0000}"/>
    <cellStyle name="Comma 4 5 3 2 2" xfId="7187" xr:uid="{00000000-0005-0000-0000-0000400A0000}"/>
    <cellStyle name="Comma 4 5 3 2 2 2" xfId="15682" xr:uid="{61A57B67-F96A-4FF2-A087-4EE9C32E6010}"/>
    <cellStyle name="Comma 4 5 3 2 3" xfId="11469" xr:uid="{22B9CA16-9208-40A9-A65D-2A65525B09A7}"/>
    <cellStyle name="Comma 4 5 3 3" xfId="5042" xr:uid="{00000000-0005-0000-0000-0000410A0000}"/>
    <cellStyle name="Comma 4 5 3 3 2" xfId="13537" xr:uid="{4BF80B5B-4466-43F0-B42C-F6952D2F852F}"/>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2 2 2" xfId="16095" xr:uid="{DE6DC621-75C3-4E95-834B-DB287D5C1EB8}"/>
    <cellStyle name="Comma 4 5 4 2 3" xfId="11882" xr:uid="{48E200D7-91DC-4AD9-BD92-79F245E05F0A}"/>
    <cellStyle name="Comma 4 5 4 3" xfId="5455" xr:uid="{00000000-0005-0000-0000-0000450A0000}"/>
    <cellStyle name="Comma 4 5 4 3 2" xfId="13950" xr:uid="{89417829-8043-46AF-BFEE-9356407D0BAF}"/>
    <cellStyle name="Comma 4 5 4 4" xfId="9737" xr:uid="{1DCF097A-1C47-4105-9577-9FC8A0ABB231}"/>
    <cellStyle name="Comma 4 5 5" xfId="1561" xr:uid="{00000000-0005-0000-0000-0000460A0000}"/>
    <cellStyle name="Comma 4 5 5 2" xfId="3791" xr:uid="{00000000-0005-0000-0000-0000470A0000}"/>
    <cellStyle name="Comma 4 5 5 2 2" xfId="8013" xr:uid="{00000000-0005-0000-0000-0000480A0000}"/>
    <cellStyle name="Comma 4 5 5 2 2 2" xfId="16508" xr:uid="{DA771FAA-CCA5-475A-9A0C-78F3D84E249C}"/>
    <cellStyle name="Comma 4 5 5 2 3" xfId="12295" xr:uid="{3868E822-EE5E-4F2E-8CDB-4631BEFB23DA}"/>
    <cellStyle name="Comma 4 5 5 3" xfId="5868" xr:uid="{00000000-0005-0000-0000-0000490A0000}"/>
    <cellStyle name="Comma 4 5 5 3 2" xfId="14363" xr:uid="{D600F564-F70A-4C1A-85B4-89085ACA7668}"/>
    <cellStyle name="Comma 4 5 5 4" xfId="10150" xr:uid="{94B1AF14-9114-436F-8071-B85499DAF437}"/>
    <cellStyle name="Comma 4 5 6" xfId="1975" xr:uid="{00000000-0005-0000-0000-00004A0A0000}"/>
    <cellStyle name="Comma 4 5 6 2" xfId="4204" xr:uid="{00000000-0005-0000-0000-00004B0A0000}"/>
    <cellStyle name="Comma 4 5 6 2 2" xfId="8426" xr:uid="{00000000-0005-0000-0000-00004C0A0000}"/>
    <cellStyle name="Comma 4 5 6 2 2 2" xfId="16921" xr:uid="{137ABED6-69B9-4AEF-BD14-3DE21895F936}"/>
    <cellStyle name="Comma 4 5 6 2 3" xfId="12708" xr:uid="{AB805A32-539A-4DB8-9B16-5BEBE1E5621E}"/>
    <cellStyle name="Comma 4 5 6 3" xfId="6281" xr:uid="{00000000-0005-0000-0000-00004D0A0000}"/>
    <cellStyle name="Comma 4 5 6 3 2" xfId="14776" xr:uid="{88F2919F-99BA-4256-B79B-DCFEDA867B18}"/>
    <cellStyle name="Comma 4 5 6 4" xfId="10563" xr:uid="{D0C6F029-6C95-4CCD-AC79-25252FABB61C}"/>
    <cellStyle name="Comma 4 5 7" xfId="2410" xr:uid="{00000000-0005-0000-0000-00004E0A0000}"/>
    <cellStyle name="Comma 4 5 7 2" xfId="6694" xr:uid="{00000000-0005-0000-0000-00004F0A0000}"/>
    <cellStyle name="Comma 4 5 7 2 2" xfId="15189" xr:uid="{975F9D75-4944-45CF-861B-24AF1DE9BFF8}"/>
    <cellStyle name="Comma 4 5 7 3" xfId="10976" xr:uid="{9F05589B-7B32-4800-8B50-C40D59404BDF}"/>
    <cellStyle name="Comma 4 5 8" xfId="2706" xr:uid="{00000000-0005-0000-0000-0000500A0000}"/>
    <cellStyle name="Comma 4 5 9" xfId="2788" xr:uid="{00000000-0005-0000-0000-0000510A0000}"/>
    <cellStyle name="Comma 4 5 9 2" xfId="7011" xr:uid="{00000000-0005-0000-0000-0000520A0000}"/>
    <cellStyle name="Comma 4 5 9 2 2" xfId="15506" xr:uid="{A0A6387E-E513-4F1C-9B71-F355A2D57085}"/>
    <cellStyle name="Comma 4 5 9 3" xfId="11293" xr:uid="{87B8F30B-DB91-4508-A85B-6EF89A3731D6}"/>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2 2 2" xfId="15684" xr:uid="{6B997924-BD3F-40B2-923C-0B1C69A23FD3}"/>
    <cellStyle name="Comma 4 6 2 2 3" xfId="11471" xr:uid="{C4091F4A-17E2-4FF5-9319-41566A9BC862}"/>
    <cellStyle name="Comma 4 6 2 3" xfId="5044" xr:uid="{00000000-0005-0000-0000-0000570A0000}"/>
    <cellStyle name="Comma 4 6 2 3 2" xfId="13539" xr:uid="{F2E07419-0EF8-47BD-9C56-C293903A2FF6}"/>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2 2 2" xfId="16097" xr:uid="{377EF3A6-EE5B-4511-88C7-4780141B7C71}"/>
    <cellStyle name="Comma 4 6 3 2 3" xfId="11884" xr:uid="{CB221444-14DA-4FAF-8B1F-BC6256D4279B}"/>
    <cellStyle name="Comma 4 6 3 3" xfId="5457" xr:uid="{00000000-0005-0000-0000-00005B0A0000}"/>
    <cellStyle name="Comma 4 6 3 3 2" xfId="13952" xr:uid="{15207A48-B15B-4115-99D2-2869F3D33771}"/>
    <cellStyle name="Comma 4 6 3 4" xfId="9739" xr:uid="{F3036F61-4443-4961-AABB-E382D6E758AC}"/>
    <cellStyle name="Comma 4 6 4" xfId="1563" xr:uid="{00000000-0005-0000-0000-00005C0A0000}"/>
    <cellStyle name="Comma 4 6 4 2" xfId="3793" xr:uid="{00000000-0005-0000-0000-00005D0A0000}"/>
    <cellStyle name="Comma 4 6 4 2 2" xfId="8015" xr:uid="{00000000-0005-0000-0000-00005E0A0000}"/>
    <cellStyle name="Comma 4 6 4 2 2 2" xfId="16510" xr:uid="{B5E1A6A7-DE7D-44B6-92AE-02D1535E06FF}"/>
    <cellStyle name="Comma 4 6 4 2 3" xfId="12297" xr:uid="{E5E8D9E8-B4AC-4FFD-9F08-C687EE454583}"/>
    <cellStyle name="Comma 4 6 4 3" xfId="5870" xr:uid="{00000000-0005-0000-0000-00005F0A0000}"/>
    <cellStyle name="Comma 4 6 4 3 2" xfId="14365" xr:uid="{1FD74D3C-4566-4B83-992F-585991755011}"/>
    <cellStyle name="Comma 4 6 4 4" xfId="10152" xr:uid="{897B056F-13E1-4CD7-AE68-4AEF0AE5968C}"/>
    <cellStyle name="Comma 4 6 5" xfId="1977" xr:uid="{00000000-0005-0000-0000-0000600A0000}"/>
    <cellStyle name="Comma 4 6 5 2" xfId="4206" xr:uid="{00000000-0005-0000-0000-0000610A0000}"/>
    <cellStyle name="Comma 4 6 5 2 2" xfId="8428" xr:uid="{00000000-0005-0000-0000-0000620A0000}"/>
    <cellStyle name="Comma 4 6 5 2 2 2" xfId="16923" xr:uid="{9B3B27E7-03F9-4A46-AEF1-D1275534799D}"/>
    <cellStyle name="Comma 4 6 5 2 3" xfId="12710" xr:uid="{2817EF58-E93C-4273-9502-CAD7D99F6095}"/>
    <cellStyle name="Comma 4 6 5 3" xfId="6283" xr:uid="{00000000-0005-0000-0000-0000630A0000}"/>
    <cellStyle name="Comma 4 6 5 3 2" xfId="14778" xr:uid="{AEB419D3-87D6-4B21-B1A7-DD16607D0A59}"/>
    <cellStyle name="Comma 4 6 5 4" xfId="10565" xr:uid="{BF1E2C38-13E1-4623-B1D1-F98E3E471119}"/>
    <cellStyle name="Comma 4 6 6" xfId="2412" xr:uid="{00000000-0005-0000-0000-0000640A0000}"/>
    <cellStyle name="Comma 4 6 6 2" xfId="6696" xr:uid="{00000000-0005-0000-0000-0000650A0000}"/>
    <cellStyle name="Comma 4 6 6 2 2" xfId="15191" xr:uid="{0BF52113-5C04-476E-8EBC-A6F93B46D9C4}"/>
    <cellStyle name="Comma 4 6 6 3" xfId="10978" xr:uid="{9A81D2F7-5CA5-47EB-93E9-B4AD7578BEC1}"/>
    <cellStyle name="Comma 4 6 7" xfId="2708" xr:uid="{00000000-0005-0000-0000-0000660A0000}"/>
    <cellStyle name="Comma 4 6 8" xfId="2790" xr:uid="{00000000-0005-0000-0000-0000670A0000}"/>
    <cellStyle name="Comma 4 6 8 2" xfId="7013" xr:uid="{00000000-0005-0000-0000-0000680A0000}"/>
    <cellStyle name="Comma 4 6 8 2 2" xfId="15508" xr:uid="{17804FDC-EFD3-4D3F-A6D7-144A646E5668}"/>
    <cellStyle name="Comma 4 6 8 3" xfId="11295" xr:uid="{614983A6-9E61-4F9B-B6A5-E3E93391EFC9}"/>
    <cellStyle name="Comma 4 6 9" xfId="4630" xr:uid="{00000000-0005-0000-0000-0000690A0000}"/>
    <cellStyle name="Comma 4 6 9 2" xfId="13126" xr:uid="{AA343A05-1F36-4D77-9A50-7C5B49710931}"/>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2 2 2" xfId="15685" xr:uid="{CF18521D-26C6-4546-B3A0-0C6A393AC9EE}"/>
    <cellStyle name="Comma 4 7 2 2 3" xfId="11472" xr:uid="{E7BB51F2-E26D-42C6-B143-CAAEC6E85118}"/>
    <cellStyle name="Comma 4 7 2 3" xfId="5045" xr:uid="{00000000-0005-0000-0000-00006E0A0000}"/>
    <cellStyle name="Comma 4 7 2 3 2" xfId="13540" xr:uid="{4F9BD71B-BC40-4F15-996C-DFC0E200A4A2}"/>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2 2 2" xfId="16098" xr:uid="{5E001F1A-1FF8-48C7-8A80-B5B5E72E02EC}"/>
    <cellStyle name="Comma 4 7 3 2 3" xfId="11885" xr:uid="{40D6C912-8CF6-4151-9D1C-5EC1DD91BF3B}"/>
    <cellStyle name="Comma 4 7 3 3" xfId="5458" xr:uid="{00000000-0005-0000-0000-0000720A0000}"/>
    <cellStyle name="Comma 4 7 3 3 2" xfId="13953" xr:uid="{5055ACD4-D8AD-4BED-A95E-4410DA16E2CB}"/>
    <cellStyle name="Comma 4 7 3 4" xfId="9740" xr:uid="{5381AFEA-E9EB-4C62-9B4A-B18FE2451074}"/>
    <cellStyle name="Comma 4 7 4" xfId="1564" xr:uid="{00000000-0005-0000-0000-0000730A0000}"/>
    <cellStyle name="Comma 4 7 4 2" xfId="3794" xr:uid="{00000000-0005-0000-0000-0000740A0000}"/>
    <cellStyle name="Comma 4 7 4 2 2" xfId="8016" xr:uid="{00000000-0005-0000-0000-0000750A0000}"/>
    <cellStyle name="Comma 4 7 4 2 2 2" xfId="16511" xr:uid="{CD6E7AC4-B105-4C3D-9109-87D0C4B48781}"/>
    <cellStyle name="Comma 4 7 4 2 3" xfId="12298" xr:uid="{FF6DF44C-2854-455E-8C5F-7CB454928639}"/>
    <cellStyle name="Comma 4 7 4 3" xfId="5871" xr:uid="{00000000-0005-0000-0000-0000760A0000}"/>
    <cellStyle name="Comma 4 7 4 3 2" xfId="14366" xr:uid="{8A06E496-264F-4A55-B681-F813561BDFD1}"/>
    <cellStyle name="Comma 4 7 4 4" xfId="10153" xr:uid="{98108459-EC19-4BBC-83CF-1A88CF98501B}"/>
    <cellStyle name="Comma 4 7 5" xfId="1978" xr:uid="{00000000-0005-0000-0000-0000770A0000}"/>
    <cellStyle name="Comma 4 7 5 2" xfId="4207" xr:uid="{00000000-0005-0000-0000-0000780A0000}"/>
    <cellStyle name="Comma 4 7 5 2 2" xfId="8429" xr:uid="{00000000-0005-0000-0000-0000790A0000}"/>
    <cellStyle name="Comma 4 7 5 2 2 2" xfId="16924" xr:uid="{41725E56-9119-4685-8B46-5EB22270F085}"/>
    <cellStyle name="Comma 4 7 5 2 3" xfId="12711" xr:uid="{7FFDA415-12F6-4CD4-A954-B4F772E08AEF}"/>
    <cellStyle name="Comma 4 7 5 3" xfId="6284" xr:uid="{00000000-0005-0000-0000-00007A0A0000}"/>
    <cellStyle name="Comma 4 7 5 3 2" xfId="14779" xr:uid="{3718E5B1-B8F1-40D5-AD88-CFAD632BBD31}"/>
    <cellStyle name="Comma 4 7 5 4" xfId="10566" xr:uid="{16CBE468-83A6-41E1-8B94-7FECB2C45F0E}"/>
    <cellStyle name="Comma 4 7 6" xfId="2413" xr:uid="{00000000-0005-0000-0000-00007B0A0000}"/>
    <cellStyle name="Comma 4 7 6 2" xfId="6697" xr:uid="{00000000-0005-0000-0000-00007C0A0000}"/>
    <cellStyle name="Comma 4 7 6 2 2" xfId="15192" xr:uid="{2EBF7608-19CA-4455-910D-A4F146DBAA8A}"/>
    <cellStyle name="Comma 4 7 6 3" xfId="10979" xr:uid="{4019C52C-AB3D-4D7D-8D09-ED0D38E8196E}"/>
    <cellStyle name="Comma 4 7 7" xfId="2709" xr:uid="{00000000-0005-0000-0000-00007D0A0000}"/>
    <cellStyle name="Comma 4 7 8" xfId="2791" xr:uid="{00000000-0005-0000-0000-00007E0A0000}"/>
    <cellStyle name="Comma 4 7 8 2" xfId="7014" xr:uid="{00000000-0005-0000-0000-00007F0A0000}"/>
    <cellStyle name="Comma 4 7 8 2 2" xfId="15509" xr:uid="{9F100EA2-6A6F-4B6F-A410-F7F3822D3E67}"/>
    <cellStyle name="Comma 4 7 8 3" xfId="11296" xr:uid="{9A50A24C-1263-4638-9277-5F2673A155EB}"/>
    <cellStyle name="Comma 4 7 9" xfId="4631" xr:uid="{00000000-0005-0000-0000-0000800A0000}"/>
    <cellStyle name="Comma 4 7 9 2" xfId="13127" xr:uid="{B90D20D5-743F-4411-8ED8-7438593496A6}"/>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211" xr:uid="{AB2627B6-8E7F-4B34-B030-38603D892C4F}"/>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3" xfId="17227" xr:uid="{39116886-5230-46B3-9EDE-A69BDCA0C4B3}"/>
    <cellStyle name="Currency 14 3 2 2 2 3" xfId="17224" xr:uid="{234ECC59-CC0A-479B-A76F-611532E1E02E}"/>
    <cellStyle name="Currency 14 3 2 2 3" xfId="17220" xr:uid="{0636226F-162B-4378-B6D6-90CAA7F5F4BB}"/>
    <cellStyle name="Currency 14 3 2 3" xfId="17217" xr:uid="{278A2D34-B5D5-4D7C-AFB0-7D5E7267A024}"/>
    <cellStyle name="Currency 14 3 3" xfId="17214" xr:uid="{0FABEC0B-8E30-44F3-81B5-B4E840940F2C}"/>
    <cellStyle name="Currency 14 4" xfId="12998" xr:uid="{0C279A7D-EC71-4D9C-B9E5-E3A0CF4E251D}"/>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510" xr:uid="{48762B17-079E-453D-858C-2E5FF388B280}"/>
    <cellStyle name="Currency 3 2 2 10 3" xfId="11297" xr:uid="{1E6421CD-3056-4225-A38A-F1D456A8D065}"/>
    <cellStyle name="Currency 3 2 2 11" xfId="4632" xr:uid="{00000000-0005-0000-0000-0000A50A0000}"/>
    <cellStyle name="Currency 3 2 2 11 2" xfId="13128" xr:uid="{B6A36822-DF40-4965-BDBA-95F62F752DB3}"/>
    <cellStyle name="Currency 3 2 2 12" xfId="8808" xr:uid="{5CD24693-181E-456A-9199-DC057509AC96}"/>
    <cellStyle name="Currency 3 2 2 2" xfId="179" xr:uid="{00000000-0005-0000-0000-0000A60A0000}"/>
    <cellStyle name="Currency 3 2 2 2 10" xfId="4633" xr:uid="{00000000-0005-0000-0000-0000A70A0000}"/>
    <cellStyle name="Currency 3 2 2 2 10 2" xfId="13129" xr:uid="{5B22080A-B003-47F9-B4DF-CBBA56338625}"/>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88" xr:uid="{553E6C12-0C7E-48F0-B1CE-03D55E5117BF}"/>
    <cellStyle name="Currency 3 2 2 2 2 2 2 3" xfId="11475" xr:uid="{FEEECABE-60F9-4EC8-AE3F-B431F98D557C}"/>
    <cellStyle name="Currency 3 2 2 2 2 2 3" xfId="5048" xr:uid="{00000000-0005-0000-0000-0000AC0A0000}"/>
    <cellStyle name="Currency 3 2 2 2 2 2 3 2" xfId="13543" xr:uid="{4568D05F-0BF6-4A1A-935D-A56149EC6D4B}"/>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101" xr:uid="{F9488470-412F-4299-997D-3128B0114FB0}"/>
    <cellStyle name="Currency 3 2 2 2 2 3 2 3" xfId="11888" xr:uid="{0AEAA4DA-EBCE-4B03-A160-6B6621998214}"/>
    <cellStyle name="Currency 3 2 2 2 2 3 3" xfId="5461" xr:uid="{00000000-0005-0000-0000-0000B00A0000}"/>
    <cellStyle name="Currency 3 2 2 2 2 3 3 2" xfId="13956" xr:uid="{1B858452-B148-4BBD-A920-3AC54AF2A4AD}"/>
    <cellStyle name="Currency 3 2 2 2 2 3 4" xfId="9743" xr:uid="{5BF59D40-325A-4647-B280-F0AEF61FB809}"/>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514" xr:uid="{EB94FBFF-9876-4DAA-9DA8-35AED12EE87F}"/>
    <cellStyle name="Currency 3 2 2 2 2 4 2 3" xfId="12301" xr:uid="{F5C3B4A0-963C-47CC-8F8F-AA0AFBE4E7F2}"/>
    <cellStyle name="Currency 3 2 2 2 2 4 3" xfId="5874" xr:uid="{00000000-0005-0000-0000-0000B40A0000}"/>
    <cellStyle name="Currency 3 2 2 2 2 4 3 2" xfId="14369" xr:uid="{344A077E-6334-47C2-AFBE-A9767346F4B3}"/>
    <cellStyle name="Currency 3 2 2 2 2 4 4" xfId="10156" xr:uid="{1F738AC3-C3E1-4CDF-B490-26582F6B79BD}"/>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927" xr:uid="{10299E46-E9BC-4149-A4A8-253F70262DBE}"/>
    <cellStyle name="Currency 3 2 2 2 2 5 2 3" xfId="12714" xr:uid="{59BA6512-4E7C-4345-9D5F-B72EB79ED883}"/>
    <cellStyle name="Currency 3 2 2 2 2 5 3" xfId="6287" xr:uid="{00000000-0005-0000-0000-0000B80A0000}"/>
    <cellStyle name="Currency 3 2 2 2 2 5 3 2" xfId="14782" xr:uid="{D875FC35-7FF5-4994-8D67-6485C49BEE01}"/>
    <cellStyle name="Currency 3 2 2 2 2 5 4" xfId="10569" xr:uid="{9ABFB144-3F7D-493E-81EF-FE65A9D70ED6}"/>
    <cellStyle name="Currency 3 2 2 2 2 6" xfId="2416" xr:uid="{00000000-0005-0000-0000-0000B90A0000}"/>
    <cellStyle name="Currency 3 2 2 2 2 6 2" xfId="6700" xr:uid="{00000000-0005-0000-0000-0000BA0A0000}"/>
    <cellStyle name="Currency 3 2 2 2 2 6 2 2" xfId="15195" xr:uid="{3673C8DB-A035-43DB-9490-EE49BCA638C1}"/>
    <cellStyle name="Currency 3 2 2 2 2 6 3" xfId="10982" xr:uid="{4C457B6E-C406-4010-83EA-8E54A58AF082}"/>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512" xr:uid="{FDCED614-C304-40BF-BFBD-9B99C117D322}"/>
    <cellStyle name="Currency 3 2 2 2 2 8 3" xfId="11299" xr:uid="{8C8FB188-00A8-4AD8-9F8F-297CF9E37668}"/>
    <cellStyle name="Currency 3 2 2 2 2 9" xfId="4634" xr:uid="{00000000-0005-0000-0000-0000BE0A0000}"/>
    <cellStyle name="Currency 3 2 2 2 2 9 2" xfId="13130" xr:uid="{1E9FBD59-AF78-4228-ABE1-27D081F81A75}"/>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87" xr:uid="{61583142-786F-4031-8655-AA9070EB0586}"/>
    <cellStyle name="Currency 3 2 2 2 3 2 3" xfId="11474" xr:uid="{B7FD9355-1DF0-4D95-B3FB-DA90145B40E2}"/>
    <cellStyle name="Currency 3 2 2 2 3 3" xfId="5047" xr:uid="{00000000-0005-0000-0000-0000C20A0000}"/>
    <cellStyle name="Currency 3 2 2 2 3 3 2" xfId="13542" xr:uid="{9A99AE91-05A0-455F-8DF6-9230DE69EABF}"/>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100" xr:uid="{D384A688-4428-41FD-9E80-1D37B5EDA749}"/>
    <cellStyle name="Currency 3 2 2 2 4 2 3" xfId="11887" xr:uid="{840AA7AC-9A38-4219-9315-29A679F77399}"/>
    <cellStyle name="Currency 3 2 2 2 4 3" xfId="5460" xr:uid="{00000000-0005-0000-0000-0000C60A0000}"/>
    <cellStyle name="Currency 3 2 2 2 4 3 2" xfId="13955" xr:uid="{FC020DA7-016A-489E-B6E7-79C966C8759C}"/>
    <cellStyle name="Currency 3 2 2 2 4 4" xfId="9742" xr:uid="{C1D4BF9E-CEC9-4A57-86BA-E3B812876797}"/>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513" xr:uid="{AC6C78AB-CF74-465B-8E13-2BA67840DEFC}"/>
    <cellStyle name="Currency 3 2 2 2 5 2 3" xfId="12300" xr:uid="{E402185C-9563-4C04-B601-DF3E50CB4972}"/>
    <cellStyle name="Currency 3 2 2 2 5 3" xfId="5873" xr:uid="{00000000-0005-0000-0000-0000CA0A0000}"/>
    <cellStyle name="Currency 3 2 2 2 5 3 2" xfId="14368" xr:uid="{0F9AED92-CDC3-421B-A8DE-A6FA236151C8}"/>
    <cellStyle name="Currency 3 2 2 2 5 4" xfId="10155" xr:uid="{00F25314-0948-45DC-88CF-B3B9A768677E}"/>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926" xr:uid="{A390D0E5-6DC2-4630-8168-32EBFDC469C2}"/>
    <cellStyle name="Currency 3 2 2 2 6 2 3" xfId="12713" xr:uid="{973C8292-D42E-4A14-A25A-4032D59B7287}"/>
    <cellStyle name="Currency 3 2 2 2 6 3" xfId="6286" xr:uid="{00000000-0005-0000-0000-0000CE0A0000}"/>
    <cellStyle name="Currency 3 2 2 2 6 3 2" xfId="14781" xr:uid="{701729D1-A97E-4FE8-B301-6838CB443647}"/>
    <cellStyle name="Currency 3 2 2 2 6 4" xfId="10568" xr:uid="{34D077DE-C1F3-412A-A241-8188DA659BC6}"/>
    <cellStyle name="Currency 3 2 2 2 7" xfId="2415" xr:uid="{00000000-0005-0000-0000-0000CF0A0000}"/>
    <cellStyle name="Currency 3 2 2 2 7 2" xfId="6699" xr:uid="{00000000-0005-0000-0000-0000D00A0000}"/>
    <cellStyle name="Currency 3 2 2 2 7 2 2" xfId="15194" xr:uid="{7F60DA20-D4D0-4141-B4B1-03005C2A7EA8}"/>
    <cellStyle name="Currency 3 2 2 2 7 3" xfId="10981" xr:uid="{9675ADB5-3D59-46D9-B445-69F5EF0210B9}"/>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511" xr:uid="{28964814-F4A0-410A-B46A-445236C57D59}"/>
    <cellStyle name="Currency 3 2 2 2 9 3" xfId="11298" xr:uid="{FA283F1A-87CF-42B7-9D38-222E8B5C791C}"/>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89" xr:uid="{166D7EC2-3D2D-451C-9A37-3E90C9635FAA}"/>
    <cellStyle name="Currency 3 2 2 3 2 2 3" xfId="11476" xr:uid="{24A22DFE-77A5-4217-B6F4-37F70D2244BB}"/>
    <cellStyle name="Currency 3 2 2 3 2 3" xfId="5049" xr:uid="{00000000-0005-0000-0000-0000D80A0000}"/>
    <cellStyle name="Currency 3 2 2 3 2 3 2" xfId="13544" xr:uid="{0DFCB698-3408-49AD-A0DE-8C2E13764E92}"/>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102" xr:uid="{A2C1CB83-76FA-48F5-B467-FA885DA9809A}"/>
    <cellStyle name="Currency 3 2 2 3 3 2 3" xfId="11889" xr:uid="{6B46C425-A876-4DCA-8B2F-96F832450500}"/>
    <cellStyle name="Currency 3 2 2 3 3 3" xfId="5462" xr:uid="{00000000-0005-0000-0000-0000DC0A0000}"/>
    <cellStyle name="Currency 3 2 2 3 3 3 2" xfId="13957" xr:uid="{1C3D1B23-8B27-48DB-8383-85C1933D71A4}"/>
    <cellStyle name="Currency 3 2 2 3 3 4" xfId="9744" xr:uid="{BAFC3DD7-AC7E-467C-87C2-13323D5CCCD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515" xr:uid="{FB59D6DC-ABD6-4484-BADA-673EF5A0FB66}"/>
    <cellStyle name="Currency 3 2 2 3 4 2 3" xfId="12302" xr:uid="{0FCA8F4D-0565-4F00-9C9D-7769830879DB}"/>
    <cellStyle name="Currency 3 2 2 3 4 3" xfId="5875" xr:uid="{00000000-0005-0000-0000-0000E00A0000}"/>
    <cellStyle name="Currency 3 2 2 3 4 3 2" xfId="14370" xr:uid="{4B1F1E7A-3D3B-4DFC-8FFF-4C4C590252A5}"/>
    <cellStyle name="Currency 3 2 2 3 4 4" xfId="10157" xr:uid="{7C745C7A-48E9-4BCA-8BDD-CFC7B64FC868}"/>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928" xr:uid="{BF960D81-A028-4099-B7A2-7D5406A85837}"/>
    <cellStyle name="Currency 3 2 2 3 5 2 3" xfId="12715" xr:uid="{F50F72DD-5584-4BF7-9F3B-3C838FC7CB04}"/>
    <cellStyle name="Currency 3 2 2 3 5 3" xfId="6288" xr:uid="{00000000-0005-0000-0000-0000E40A0000}"/>
    <cellStyle name="Currency 3 2 2 3 5 3 2" xfId="14783" xr:uid="{66D816B4-2EBF-4E43-A3BE-72D6DF4B2575}"/>
    <cellStyle name="Currency 3 2 2 3 5 4" xfId="10570" xr:uid="{4C294A30-BD49-4A12-9017-3C4A5E416FAC}"/>
    <cellStyle name="Currency 3 2 2 3 6" xfId="2417" xr:uid="{00000000-0005-0000-0000-0000E50A0000}"/>
    <cellStyle name="Currency 3 2 2 3 6 2" xfId="6701" xr:uid="{00000000-0005-0000-0000-0000E60A0000}"/>
    <cellStyle name="Currency 3 2 2 3 6 2 2" xfId="15196" xr:uid="{68BBA6B7-FE8B-4036-A1F6-B67A6950913E}"/>
    <cellStyle name="Currency 3 2 2 3 6 3" xfId="10983" xr:uid="{5ADDBE1B-711C-42AC-8B8B-6B40CB908A00}"/>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513" xr:uid="{C104A5FC-7ADD-4DD4-83DE-ED7AF4751FEB}"/>
    <cellStyle name="Currency 3 2 2 3 8 3" xfId="11300" xr:uid="{5B17CC93-1F3D-4CE2-ADFD-012331EB5C03}"/>
    <cellStyle name="Currency 3 2 2 3 9" xfId="4635" xr:uid="{00000000-0005-0000-0000-0000EA0A0000}"/>
    <cellStyle name="Currency 3 2 2 3 9 2" xfId="13131" xr:uid="{AA45840E-E5D7-4DA7-8371-07D97F233D10}"/>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86" xr:uid="{3D95DD96-995A-471E-AD33-8DDEB982C068}"/>
    <cellStyle name="Currency 3 2 2 4 2 3" xfId="11473" xr:uid="{1E008FF4-47A1-428C-8AB8-10C6104E4EDA}"/>
    <cellStyle name="Currency 3 2 2 4 3" xfId="5046" xr:uid="{00000000-0005-0000-0000-0000EE0A0000}"/>
    <cellStyle name="Currency 3 2 2 4 3 2" xfId="13541" xr:uid="{CC5CBADB-AB5A-49A7-8A13-79F431280387}"/>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99" xr:uid="{F2569D78-0F20-4F07-88E4-7039D7E16359}"/>
    <cellStyle name="Currency 3 2 2 5 2 3" xfId="11886" xr:uid="{8B6CC60C-1736-44A1-AE79-43F5076FC885}"/>
    <cellStyle name="Currency 3 2 2 5 3" xfId="5459" xr:uid="{00000000-0005-0000-0000-0000F20A0000}"/>
    <cellStyle name="Currency 3 2 2 5 3 2" xfId="13954" xr:uid="{A18F8094-18E5-4E4F-A63C-DB3E3670C3FB}"/>
    <cellStyle name="Currency 3 2 2 5 4" xfId="9741" xr:uid="{098A1999-58FB-4195-A931-28C3C46E1804}"/>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512" xr:uid="{3197570D-73FA-4F2A-B0B3-21398F280EBD}"/>
    <cellStyle name="Currency 3 2 2 6 2 3" xfId="12299" xr:uid="{4CD32499-B6E3-47D5-9779-AA24612EE9F8}"/>
    <cellStyle name="Currency 3 2 2 6 3" xfId="5872" xr:uid="{00000000-0005-0000-0000-0000F60A0000}"/>
    <cellStyle name="Currency 3 2 2 6 3 2" xfId="14367" xr:uid="{A72FF8EB-02EE-4696-A6C0-1F939EB1509E}"/>
    <cellStyle name="Currency 3 2 2 6 4" xfId="10154" xr:uid="{2E186D64-A82F-40F1-A863-95136373E10A}"/>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925" xr:uid="{2254F5A1-E21A-4B69-91FE-2DFA47810975}"/>
    <cellStyle name="Currency 3 2 2 7 2 3" xfId="12712" xr:uid="{35086865-BCF9-4A38-BCB1-A2F87F8330EB}"/>
    <cellStyle name="Currency 3 2 2 7 3" xfId="6285" xr:uid="{00000000-0005-0000-0000-0000FA0A0000}"/>
    <cellStyle name="Currency 3 2 2 7 3 2" xfId="14780" xr:uid="{1F68C2C5-43D5-4F19-8F82-2EE218F48FD7}"/>
    <cellStyle name="Currency 3 2 2 7 4" xfId="10567" xr:uid="{91E9FE9F-4609-43BA-ABE6-47785F229010}"/>
    <cellStyle name="Currency 3 2 2 8" xfId="2414" xr:uid="{00000000-0005-0000-0000-0000FB0A0000}"/>
    <cellStyle name="Currency 3 2 2 8 2" xfId="6698" xr:uid="{00000000-0005-0000-0000-0000FC0A0000}"/>
    <cellStyle name="Currency 3 2 2 8 2 2" xfId="15193" xr:uid="{7F238227-1614-4358-9FE5-BD421B3EBAA9}"/>
    <cellStyle name="Currency 3 2 2 8 3" xfId="10980" xr:uid="{613058B5-0051-44AC-B040-159F335D633C}"/>
    <cellStyle name="Currency 3 2 2 9" xfId="2711" xr:uid="{00000000-0005-0000-0000-0000FD0A0000}"/>
    <cellStyle name="Currency 3 2 3" xfId="182" xr:uid="{00000000-0005-0000-0000-0000FE0A0000}"/>
    <cellStyle name="Currency 3 2 3 10" xfId="4636" xr:uid="{00000000-0005-0000-0000-0000FF0A0000}"/>
    <cellStyle name="Currency 3 2 3 10 2" xfId="13132" xr:uid="{E695835F-6538-41C2-9011-6E4443A2AA95}"/>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91" xr:uid="{3DC4885F-C8D6-48AE-A0E6-0D6E38E20622}"/>
    <cellStyle name="Currency 3 2 3 2 2 2 3" xfId="11478" xr:uid="{6F1B1A66-D543-4346-B52C-2E5D5A45847A}"/>
    <cellStyle name="Currency 3 2 3 2 2 3" xfId="5051" xr:uid="{00000000-0005-0000-0000-0000040B0000}"/>
    <cellStyle name="Currency 3 2 3 2 2 3 2" xfId="13546" xr:uid="{B4C0463A-4FBA-49CB-B392-BD67A80C2D6E}"/>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104" xr:uid="{E0D92A2C-1EFA-4A35-B518-1EC17D485541}"/>
    <cellStyle name="Currency 3 2 3 2 3 2 3" xfId="11891" xr:uid="{7E0A643A-C2AC-4511-BD79-DE373D5B4BB6}"/>
    <cellStyle name="Currency 3 2 3 2 3 3" xfId="5464" xr:uid="{00000000-0005-0000-0000-0000080B0000}"/>
    <cellStyle name="Currency 3 2 3 2 3 3 2" xfId="13959" xr:uid="{41EBA7DE-2582-4BD2-8EE8-899D809C579C}"/>
    <cellStyle name="Currency 3 2 3 2 3 4" xfId="9746" xr:uid="{DC643204-1703-41D2-901F-FDA9A6C69E73}"/>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517" xr:uid="{7426E94E-7FC1-447B-A000-07FAC3DE32A8}"/>
    <cellStyle name="Currency 3 2 3 2 4 2 3" xfId="12304" xr:uid="{871FB556-90FE-41AD-80DB-2A57F9394B4A}"/>
    <cellStyle name="Currency 3 2 3 2 4 3" xfId="5877" xr:uid="{00000000-0005-0000-0000-00000C0B0000}"/>
    <cellStyle name="Currency 3 2 3 2 4 3 2" xfId="14372" xr:uid="{B4E57FC4-9F23-4A97-94E6-702386901B60}"/>
    <cellStyle name="Currency 3 2 3 2 4 4" xfId="10159" xr:uid="{9278C0F8-8905-4297-8FE8-C4240E6E40AC}"/>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930" xr:uid="{0D604723-B8F4-4ED3-9511-438CA4CC3402}"/>
    <cellStyle name="Currency 3 2 3 2 5 2 3" xfId="12717" xr:uid="{4DD80020-AF7F-41DB-B8DA-0400EF6BE594}"/>
    <cellStyle name="Currency 3 2 3 2 5 3" xfId="6290" xr:uid="{00000000-0005-0000-0000-0000100B0000}"/>
    <cellStyle name="Currency 3 2 3 2 5 3 2" xfId="14785" xr:uid="{35563BED-B870-491A-9107-0997E8DE29BE}"/>
    <cellStyle name="Currency 3 2 3 2 5 4" xfId="10572" xr:uid="{3EA52794-AFB0-42CA-9FC2-61B9FA6F590C}"/>
    <cellStyle name="Currency 3 2 3 2 6" xfId="2419" xr:uid="{00000000-0005-0000-0000-0000110B0000}"/>
    <cellStyle name="Currency 3 2 3 2 6 2" xfId="6703" xr:uid="{00000000-0005-0000-0000-0000120B0000}"/>
    <cellStyle name="Currency 3 2 3 2 6 2 2" xfId="15198" xr:uid="{14C7E585-9D19-4501-8D4E-18A5E2BBC48D}"/>
    <cellStyle name="Currency 3 2 3 2 6 3" xfId="10985" xr:uid="{E89E7AAE-DB47-44FF-B851-745D85C36404}"/>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515" xr:uid="{3F58C001-4B18-4D1D-B4EC-C8985B39C634}"/>
    <cellStyle name="Currency 3 2 3 2 8 3" xfId="11302" xr:uid="{3AB8E141-6877-427F-9C82-E58EB0A15A57}"/>
    <cellStyle name="Currency 3 2 3 2 9" xfId="4637" xr:uid="{00000000-0005-0000-0000-0000160B0000}"/>
    <cellStyle name="Currency 3 2 3 2 9 2" xfId="13133" xr:uid="{B47F2467-8FE1-43A7-9C4B-C46660700A06}"/>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90" xr:uid="{391E97CE-7768-4B76-84C5-8732B2A43558}"/>
    <cellStyle name="Currency 3 2 3 3 2 3" xfId="11477" xr:uid="{BFA60D6D-5C41-440C-86EF-DC3863B62C55}"/>
    <cellStyle name="Currency 3 2 3 3 3" xfId="5050" xr:uid="{00000000-0005-0000-0000-00001A0B0000}"/>
    <cellStyle name="Currency 3 2 3 3 3 2" xfId="13545" xr:uid="{8872E445-0135-467D-A6B7-2DEB47AC7C7B}"/>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103" xr:uid="{0B690B65-25B5-402A-82A7-BAD62AA5BF08}"/>
    <cellStyle name="Currency 3 2 3 4 2 3" xfId="11890" xr:uid="{1AC2F7A3-5267-4E2B-BF45-6BD33B5EB6B5}"/>
    <cellStyle name="Currency 3 2 3 4 3" xfId="5463" xr:uid="{00000000-0005-0000-0000-00001E0B0000}"/>
    <cellStyle name="Currency 3 2 3 4 3 2" xfId="13958" xr:uid="{79E2C0B6-D162-4BCB-9744-238F49536325}"/>
    <cellStyle name="Currency 3 2 3 4 4" xfId="9745" xr:uid="{191C7097-D535-461D-BAD7-7665D1F9260E}"/>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516" xr:uid="{9C11E3CF-C852-4968-829A-01BAFCB5111B}"/>
    <cellStyle name="Currency 3 2 3 5 2 3" xfId="12303" xr:uid="{B18B755D-F967-4D8E-AA7E-EC9B97D9E309}"/>
    <cellStyle name="Currency 3 2 3 5 3" xfId="5876" xr:uid="{00000000-0005-0000-0000-0000220B0000}"/>
    <cellStyle name="Currency 3 2 3 5 3 2" xfId="14371" xr:uid="{D80128B7-8C37-421B-9576-699DFFE3D78A}"/>
    <cellStyle name="Currency 3 2 3 5 4" xfId="10158" xr:uid="{569C82EC-CB19-4CEC-9B7F-D3DBBB5381A8}"/>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929" xr:uid="{A5C2E0AF-DE86-4EB5-A0C0-98530750706B}"/>
    <cellStyle name="Currency 3 2 3 6 2 3" xfId="12716" xr:uid="{5DC962DF-7AE6-4945-8AFA-CD3C0DC514C6}"/>
    <cellStyle name="Currency 3 2 3 6 3" xfId="6289" xr:uid="{00000000-0005-0000-0000-0000260B0000}"/>
    <cellStyle name="Currency 3 2 3 6 3 2" xfId="14784" xr:uid="{D396D1ED-6C8C-40A3-94E8-44BB3D7CC131}"/>
    <cellStyle name="Currency 3 2 3 6 4" xfId="10571" xr:uid="{282D4508-25B6-453D-8F9F-B002A01CA1CB}"/>
    <cellStyle name="Currency 3 2 3 7" xfId="2418" xr:uid="{00000000-0005-0000-0000-0000270B0000}"/>
    <cellStyle name="Currency 3 2 3 7 2" xfId="6702" xr:uid="{00000000-0005-0000-0000-0000280B0000}"/>
    <cellStyle name="Currency 3 2 3 7 2 2" xfId="15197" xr:uid="{AA88E849-09D8-444C-A2F6-0532CB7508D3}"/>
    <cellStyle name="Currency 3 2 3 7 3" xfId="10984" xr:uid="{F5E23DA2-15E3-4AD7-B199-887C0BF590A6}"/>
    <cellStyle name="Currency 3 2 3 8" xfId="2715" xr:uid="{00000000-0005-0000-0000-0000290B0000}"/>
    <cellStyle name="Currency 3 2 3 9" xfId="2796" xr:uid="{00000000-0005-0000-0000-00002A0B0000}"/>
    <cellStyle name="Currency 3 2 3 9 2" xfId="7019" xr:uid="{00000000-0005-0000-0000-00002B0B0000}"/>
    <cellStyle name="Currency 3 2 3 9 2 2" xfId="15514" xr:uid="{350B32B9-934D-4EB7-A28D-00E4087BEDBC}"/>
    <cellStyle name="Currency 3 2 3 9 3" xfId="11301" xr:uid="{D6927D0D-FA3F-4FEB-8812-E975B71C16C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92" xr:uid="{E384E7A7-1602-4A6D-B435-0F541EE60399}"/>
    <cellStyle name="Currency 3 2 4 2 2 3" xfId="11479" xr:uid="{7C7DBF7C-3917-4F58-A110-6E84277956C2}"/>
    <cellStyle name="Currency 3 2 4 2 3" xfId="5052" xr:uid="{00000000-0005-0000-0000-0000300B0000}"/>
    <cellStyle name="Currency 3 2 4 2 3 2" xfId="13547" xr:uid="{19BC52A8-A904-42A4-9618-775D7484F575}"/>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105" xr:uid="{6639E9A9-3697-4806-AABE-41DBF81E0623}"/>
    <cellStyle name="Currency 3 2 4 3 2 3" xfId="11892" xr:uid="{5DE79036-B6BE-49BF-8915-74F04F2EFDF8}"/>
    <cellStyle name="Currency 3 2 4 3 3" xfId="5465" xr:uid="{00000000-0005-0000-0000-0000340B0000}"/>
    <cellStyle name="Currency 3 2 4 3 3 2" xfId="13960" xr:uid="{9F48E780-ACBA-4A82-9BCA-2AB66EEAC661}"/>
    <cellStyle name="Currency 3 2 4 3 4" xfId="9747" xr:uid="{E87BD4AF-ACE8-4080-AAD2-9B23777A8454}"/>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518" xr:uid="{07FF41D7-8064-4DDD-8384-71BBFB34A5A5}"/>
    <cellStyle name="Currency 3 2 4 4 2 3" xfId="12305" xr:uid="{BA76961F-72DB-4527-9F9F-F17C974FA90C}"/>
    <cellStyle name="Currency 3 2 4 4 3" xfId="5878" xr:uid="{00000000-0005-0000-0000-0000380B0000}"/>
    <cellStyle name="Currency 3 2 4 4 3 2" xfId="14373" xr:uid="{072D7F86-E38C-47BD-B106-16DFAAF65CE8}"/>
    <cellStyle name="Currency 3 2 4 4 4" xfId="10160" xr:uid="{81FE6EEE-5891-4DD3-91E8-0DEB6239CE43}"/>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931" xr:uid="{341ACB63-C428-48FA-A20C-6625B7B445C8}"/>
    <cellStyle name="Currency 3 2 4 5 2 3" xfId="12718" xr:uid="{471FE7AC-B868-42B0-9435-85DC355304F0}"/>
    <cellStyle name="Currency 3 2 4 5 3" xfId="6291" xr:uid="{00000000-0005-0000-0000-00003C0B0000}"/>
    <cellStyle name="Currency 3 2 4 5 3 2" xfId="14786" xr:uid="{65C6104A-4240-472F-9C17-017D206E1B03}"/>
    <cellStyle name="Currency 3 2 4 5 4" xfId="10573" xr:uid="{937A0B46-BB85-45B9-84E1-20D858C90527}"/>
    <cellStyle name="Currency 3 2 4 6" xfId="2420" xr:uid="{00000000-0005-0000-0000-00003D0B0000}"/>
    <cellStyle name="Currency 3 2 4 6 2" xfId="6704" xr:uid="{00000000-0005-0000-0000-00003E0B0000}"/>
    <cellStyle name="Currency 3 2 4 6 2 2" xfId="15199" xr:uid="{4E2706F0-0551-46E0-8A7E-D588E1DB6A97}"/>
    <cellStyle name="Currency 3 2 4 6 3" xfId="10986" xr:uid="{EB998EFE-BE92-421B-BAEF-9EBDFEC6B7EB}"/>
    <cellStyle name="Currency 3 2 4 7" xfId="2717" xr:uid="{00000000-0005-0000-0000-00003F0B0000}"/>
    <cellStyle name="Currency 3 2 4 8" xfId="2798" xr:uid="{00000000-0005-0000-0000-0000400B0000}"/>
    <cellStyle name="Currency 3 2 4 8 2" xfId="7021" xr:uid="{00000000-0005-0000-0000-0000410B0000}"/>
    <cellStyle name="Currency 3 2 4 8 2 2" xfId="15516" xr:uid="{4C71826C-7E34-4AB9-B0DF-E0A2F751ACC6}"/>
    <cellStyle name="Currency 3 2 4 8 3" xfId="11303" xr:uid="{2D142C9C-DF68-4B88-B106-84B1C0F5A8A9}"/>
    <cellStyle name="Currency 3 2 4 9" xfId="4638" xr:uid="{00000000-0005-0000-0000-0000420B0000}"/>
    <cellStyle name="Currency 3 2 4 9 2" xfId="13134" xr:uid="{86D00531-EE5F-41FE-9F24-64247084E23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93" xr:uid="{448B0330-CBF8-4F7D-80DE-A31944DC9FBF}"/>
    <cellStyle name="Currency 3 2 5 2 2 3" xfId="11480" xr:uid="{77746BC8-1F44-417E-AD01-B278C5A6E9DA}"/>
    <cellStyle name="Currency 3 2 5 2 3" xfId="5053" xr:uid="{00000000-0005-0000-0000-0000470B0000}"/>
    <cellStyle name="Currency 3 2 5 2 3 2" xfId="13548" xr:uid="{637469A0-C0A1-4B4C-922B-5E8787B35FFB}"/>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106" xr:uid="{5D6284C7-99E4-4B00-8C76-62FEF9E05E77}"/>
    <cellStyle name="Currency 3 2 5 3 2 3" xfId="11893" xr:uid="{F1EE70EA-EC6E-4D7E-92B0-0B279DE1A5DC}"/>
    <cellStyle name="Currency 3 2 5 3 3" xfId="5466" xr:uid="{00000000-0005-0000-0000-00004B0B0000}"/>
    <cellStyle name="Currency 3 2 5 3 3 2" xfId="13961" xr:uid="{9EB4D714-6699-4FAF-8DA6-7E86C30D5277}"/>
    <cellStyle name="Currency 3 2 5 3 4" xfId="9748" xr:uid="{36B5E82C-342F-4933-8335-3FEA73C6C2CB}"/>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519" xr:uid="{F8E97D23-9F4C-4A5C-B7DA-1CF26E926351}"/>
    <cellStyle name="Currency 3 2 5 4 2 3" xfId="12306" xr:uid="{17E1E5C3-C83C-4C69-BAA5-78C377B67377}"/>
    <cellStyle name="Currency 3 2 5 4 3" xfId="5879" xr:uid="{00000000-0005-0000-0000-00004F0B0000}"/>
    <cellStyle name="Currency 3 2 5 4 3 2" xfId="14374" xr:uid="{553C24D2-E642-4397-8123-EC88C48FD416}"/>
    <cellStyle name="Currency 3 2 5 4 4" xfId="10161" xr:uid="{80ADC0A4-B459-47A4-9379-AB8845F47917}"/>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932" xr:uid="{550E500C-CD46-4D83-A123-E082FFD768BB}"/>
    <cellStyle name="Currency 3 2 5 5 2 3" xfId="12719" xr:uid="{E252F493-28CF-4FA9-85D7-8EBD9F5B4B16}"/>
    <cellStyle name="Currency 3 2 5 5 3" xfId="6292" xr:uid="{00000000-0005-0000-0000-0000530B0000}"/>
    <cellStyle name="Currency 3 2 5 5 3 2" xfId="14787" xr:uid="{761062B5-8FB8-4D68-B08D-F31B6B981E72}"/>
    <cellStyle name="Currency 3 2 5 5 4" xfId="10574" xr:uid="{958A63FF-7684-4D24-84F1-8250DD53FE0F}"/>
    <cellStyle name="Currency 3 2 5 6" xfId="2421" xr:uid="{00000000-0005-0000-0000-0000540B0000}"/>
    <cellStyle name="Currency 3 2 5 6 2" xfId="6705" xr:uid="{00000000-0005-0000-0000-0000550B0000}"/>
    <cellStyle name="Currency 3 2 5 6 2 2" xfId="15200" xr:uid="{ED8E546C-3102-4E02-A8B6-ECB385A8BA8F}"/>
    <cellStyle name="Currency 3 2 5 6 3" xfId="10987" xr:uid="{C87BB5CA-83D3-459E-9248-41237D7157FB}"/>
    <cellStyle name="Currency 3 2 5 7" xfId="2718" xr:uid="{00000000-0005-0000-0000-0000560B0000}"/>
    <cellStyle name="Currency 3 2 5 8" xfId="2799" xr:uid="{00000000-0005-0000-0000-0000570B0000}"/>
    <cellStyle name="Currency 3 2 5 8 2" xfId="7022" xr:uid="{00000000-0005-0000-0000-0000580B0000}"/>
    <cellStyle name="Currency 3 2 5 8 2 2" xfId="15517" xr:uid="{C6858D18-4F60-4E0C-B4E7-75C6C2123B2C}"/>
    <cellStyle name="Currency 3 2 5 8 3" xfId="11304" xr:uid="{51CC8635-EA7A-47C0-AAE9-6EFFABE72D8F}"/>
    <cellStyle name="Currency 3 2 5 9" xfId="4639" xr:uid="{00000000-0005-0000-0000-0000590B0000}"/>
    <cellStyle name="Currency 3 2 5 9 2" xfId="13135" xr:uid="{84D2EDFD-2C00-48C8-895A-EA816AD2FCFD}"/>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518" xr:uid="{0341CB02-810D-4F52-AC2D-80674557D1E1}"/>
    <cellStyle name="Currency 5 2 2 2 10 3" xfId="11305" xr:uid="{D39AD966-529F-4E83-8DF2-D27FF03A0EDA}"/>
    <cellStyle name="Currency 5 2 2 2 11" xfId="4640" xr:uid="{00000000-0005-0000-0000-00006C0B0000}"/>
    <cellStyle name="Currency 5 2 2 2 11 2" xfId="13136" xr:uid="{623CFDAF-19D5-4415-B74C-0C3DCEB83E72}"/>
    <cellStyle name="Currency 5 2 2 2 12" xfId="8809" xr:uid="{6E2B58BA-BC61-49BF-A0FE-5BC79A050654}"/>
    <cellStyle name="Currency 5 2 2 2 2" xfId="197" xr:uid="{00000000-0005-0000-0000-00006D0B0000}"/>
    <cellStyle name="Currency 5 2 2 2 2 10" xfId="4641" xr:uid="{00000000-0005-0000-0000-00006E0B0000}"/>
    <cellStyle name="Currency 5 2 2 2 2 10 2" xfId="13137" xr:uid="{12EA5EE4-D34D-4A66-8C3E-165D1FBAEA3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96" xr:uid="{EBEC671D-44DF-4F67-9B52-E5FE5D67BDAB}"/>
    <cellStyle name="Currency 5 2 2 2 2 2 2 2 3" xfId="11483" xr:uid="{784A12E2-76B3-4D45-9E4B-687809556FEE}"/>
    <cellStyle name="Currency 5 2 2 2 2 2 2 3" xfId="5056" xr:uid="{00000000-0005-0000-0000-0000730B0000}"/>
    <cellStyle name="Currency 5 2 2 2 2 2 2 3 2" xfId="13551" xr:uid="{8046F681-C6C2-4635-843F-A26A2ED95639}"/>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109" xr:uid="{5158BC9D-4850-49B4-A1DE-7B6E39C56527}"/>
    <cellStyle name="Currency 5 2 2 2 2 2 3 2 3" xfId="11896" xr:uid="{F491FD11-B705-45E9-89BD-EB2221AF3AA3}"/>
    <cellStyle name="Currency 5 2 2 2 2 2 3 3" xfId="5469" xr:uid="{00000000-0005-0000-0000-0000770B0000}"/>
    <cellStyle name="Currency 5 2 2 2 2 2 3 3 2" xfId="13964" xr:uid="{86872A27-0A28-42A1-8F4B-3FA1B09BEB40}"/>
    <cellStyle name="Currency 5 2 2 2 2 2 3 4" xfId="9751" xr:uid="{22AE4A28-BA15-468A-83E1-35D5CD76596B}"/>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522" xr:uid="{DAF3CEBE-8CD0-4DB3-9075-E53A152210C5}"/>
    <cellStyle name="Currency 5 2 2 2 2 2 4 2 3" xfId="12309" xr:uid="{50450F4B-4D04-4FC9-9B72-84962FB4410C}"/>
    <cellStyle name="Currency 5 2 2 2 2 2 4 3" xfId="5882" xr:uid="{00000000-0005-0000-0000-00007B0B0000}"/>
    <cellStyle name="Currency 5 2 2 2 2 2 4 3 2" xfId="14377" xr:uid="{C57F164E-A2FE-46C1-9D84-F775F6D56F47}"/>
    <cellStyle name="Currency 5 2 2 2 2 2 4 4" xfId="10164" xr:uid="{216B51E1-B9E6-4E02-8DA8-06D5BFDED7F2}"/>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935" xr:uid="{55C1C864-6F7F-46EC-BF23-817A4485C7CF}"/>
    <cellStyle name="Currency 5 2 2 2 2 2 5 2 3" xfId="12722" xr:uid="{72CB862C-DDBB-456E-A060-24BD3DEEB025}"/>
    <cellStyle name="Currency 5 2 2 2 2 2 5 3" xfId="6295" xr:uid="{00000000-0005-0000-0000-00007F0B0000}"/>
    <cellStyle name="Currency 5 2 2 2 2 2 5 3 2" xfId="14790" xr:uid="{06A9DAFA-A362-4E7A-B890-C85C27887BEE}"/>
    <cellStyle name="Currency 5 2 2 2 2 2 5 4" xfId="10577" xr:uid="{B25F4D0D-DD34-427E-B462-1E4686AC22BC}"/>
    <cellStyle name="Currency 5 2 2 2 2 2 6" xfId="2424" xr:uid="{00000000-0005-0000-0000-0000800B0000}"/>
    <cellStyle name="Currency 5 2 2 2 2 2 6 2" xfId="6708" xr:uid="{00000000-0005-0000-0000-0000810B0000}"/>
    <cellStyle name="Currency 5 2 2 2 2 2 6 2 2" xfId="15203" xr:uid="{B6C19BEE-9599-40E1-8157-DB7170BA3C85}"/>
    <cellStyle name="Currency 5 2 2 2 2 2 6 3" xfId="10990" xr:uid="{0F528197-91F1-4753-B9AA-6F0DFFAD5A96}"/>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520" xr:uid="{E3F86F0F-CE06-4C6E-BA5C-243C7B4586C3}"/>
    <cellStyle name="Currency 5 2 2 2 2 2 8 3" xfId="11307" xr:uid="{1B1FA1A0-4388-40EC-931F-575B2355E4F1}"/>
    <cellStyle name="Currency 5 2 2 2 2 2 9" xfId="4642" xr:uid="{00000000-0005-0000-0000-0000850B0000}"/>
    <cellStyle name="Currency 5 2 2 2 2 2 9 2" xfId="13138" xr:uid="{B70B7A62-7C4C-4EBA-B328-9F587D76C3B5}"/>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95" xr:uid="{1BB981BA-F17B-4F02-873F-7747DA64F495}"/>
    <cellStyle name="Currency 5 2 2 2 2 3 2 3" xfId="11482" xr:uid="{3CD045AA-6F79-4647-9E81-038F6503B8D0}"/>
    <cellStyle name="Currency 5 2 2 2 2 3 3" xfId="5055" xr:uid="{00000000-0005-0000-0000-0000890B0000}"/>
    <cellStyle name="Currency 5 2 2 2 2 3 3 2" xfId="13550" xr:uid="{6FD7626E-D805-42EF-85C2-9E4600ACC92B}"/>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108" xr:uid="{8BE28D3B-D5B9-4D91-8610-56A6AAAE6752}"/>
    <cellStyle name="Currency 5 2 2 2 2 4 2 3" xfId="11895" xr:uid="{A1D8E168-7F5D-4A64-ACCF-9BE42AEC2795}"/>
    <cellStyle name="Currency 5 2 2 2 2 4 3" xfId="5468" xr:uid="{00000000-0005-0000-0000-00008D0B0000}"/>
    <cellStyle name="Currency 5 2 2 2 2 4 3 2" xfId="13963" xr:uid="{201FC711-7DB3-490D-8AB2-ACAE4689A4E6}"/>
    <cellStyle name="Currency 5 2 2 2 2 4 4" xfId="9750" xr:uid="{401A4F57-2F35-4EF9-BB4E-2B7FAEFEABDA}"/>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521" xr:uid="{0F9E04D6-5DFF-4597-8B5B-32CD45A23780}"/>
    <cellStyle name="Currency 5 2 2 2 2 5 2 3" xfId="12308" xr:uid="{B702A500-5CF7-40EE-B1A4-AB15D8E406D9}"/>
    <cellStyle name="Currency 5 2 2 2 2 5 3" xfId="5881" xr:uid="{00000000-0005-0000-0000-0000910B0000}"/>
    <cellStyle name="Currency 5 2 2 2 2 5 3 2" xfId="14376" xr:uid="{D519929F-69C1-42AE-90D9-890018226CF0}"/>
    <cellStyle name="Currency 5 2 2 2 2 5 4" xfId="10163" xr:uid="{1CA57BC0-2FA1-4302-9416-5D84987867CF}"/>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934" xr:uid="{605CACE1-1FA6-4B72-826E-1BCDCA21C248}"/>
    <cellStyle name="Currency 5 2 2 2 2 6 2 3" xfId="12721" xr:uid="{84D70EE3-DDF9-455E-9645-2894733B4D4F}"/>
    <cellStyle name="Currency 5 2 2 2 2 6 3" xfId="6294" xr:uid="{00000000-0005-0000-0000-0000950B0000}"/>
    <cellStyle name="Currency 5 2 2 2 2 6 3 2" xfId="14789" xr:uid="{E21EE338-19B6-417A-A43B-61805CE85A10}"/>
    <cellStyle name="Currency 5 2 2 2 2 6 4" xfId="10576" xr:uid="{D823411D-131F-4CE1-B39D-FBE7727F61B1}"/>
    <cellStyle name="Currency 5 2 2 2 2 7" xfId="2423" xr:uid="{00000000-0005-0000-0000-0000960B0000}"/>
    <cellStyle name="Currency 5 2 2 2 2 7 2" xfId="6707" xr:uid="{00000000-0005-0000-0000-0000970B0000}"/>
    <cellStyle name="Currency 5 2 2 2 2 7 2 2" xfId="15202" xr:uid="{E16AA381-B40C-47FD-97CB-A4F12BB31288}"/>
    <cellStyle name="Currency 5 2 2 2 2 7 3" xfId="10989" xr:uid="{7E080D29-88C7-4B2A-8C2F-42C1C9A7000D}"/>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519" xr:uid="{34081E15-1648-4E99-B50F-741D06ECCE44}"/>
    <cellStyle name="Currency 5 2 2 2 2 9 3" xfId="11306" xr:uid="{406CA555-FCD6-4040-A5F4-7E5A0F4A33DF}"/>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97" xr:uid="{31DDECAA-2F9E-4CA4-A48E-8FCF16F45856}"/>
    <cellStyle name="Currency 5 2 2 2 3 2 2 3" xfId="11484" xr:uid="{BCF56D51-DAC1-42EA-893F-F54905E52C36}"/>
    <cellStyle name="Currency 5 2 2 2 3 2 3" xfId="5057" xr:uid="{00000000-0005-0000-0000-00009F0B0000}"/>
    <cellStyle name="Currency 5 2 2 2 3 2 3 2" xfId="13552" xr:uid="{2B96C38F-C25D-4375-9C90-FADE63B2D6D4}"/>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110" xr:uid="{4FAF8B4F-12E8-442C-B48A-ED6A889B4002}"/>
    <cellStyle name="Currency 5 2 2 2 3 3 2 3" xfId="11897" xr:uid="{C6655EF7-4EC4-43DB-9BBE-8F6764F70B6E}"/>
    <cellStyle name="Currency 5 2 2 2 3 3 3" xfId="5470" xr:uid="{00000000-0005-0000-0000-0000A30B0000}"/>
    <cellStyle name="Currency 5 2 2 2 3 3 3 2" xfId="13965" xr:uid="{9F5AA6DB-BBBE-4A5E-8FB4-40A902BBE083}"/>
    <cellStyle name="Currency 5 2 2 2 3 3 4" xfId="9752" xr:uid="{C7695F3B-9715-4D03-ABC0-61F065D5D2FB}"/>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523" xr:uid="{2BBAEC84-5964-44BB-8A64-EC3A2767F1A2}"/>
    <cellStyle name="Currency 5 2 2 2 3 4 2 3" xfId="12310" xr:uid="{14E0EAB8-0B86-4007-A24F-A62DD87C0B5E}"/>
    <cellStyle name="Currency 5 2 2 2 3 4 3" xfId="5883" xr:uid="{00000000-0005-0000-0000-0000A70B0000}"/>
    <cellStyle name="Currency 5 2 2 2 3 4 3 2" xfId="14378" xr:uid="{D9E6A00F-1923-4405-8CF9-532878BA72FD}"/>
    <cellStyle name="Currency 5 2 2 2 3 4 4" xfId="10165" xr:uid="{FA3C2089-8CBA-444A-89AA-621F0323BA9C}"/>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936" xr:uid="{EE607AB8-055E-4F96-81C0-A468FF2FBD7D}"/>
    <cellStyle name="Currency 5 2 2 2 3 5 2 3" xfId="12723" xr:uid="{FD3FC279-BC1D-448B-A394-60C94C031A6C}"/>
    <cellStyle name="Currency 5 2 2 2 3 5 3" xfId="6296" xr:uid="{00000000-0005-0000-0000-0000AB0B0000}"/>
    <cellStyle name="Currency 5 2 2 2 3 5 3 2" xfId="14791" xr:uid="{69AD6350-619D-4770-A697-B782C6D3481E}"/>
    <cellStyle name="Currency 5 2 2 2 3 5 4" xfId="10578" xr:uid="{EF46A43E-89C4-448F-A5B8-3D03E369B639}"/>
    <cellStyle name="Currency 5 2 2 2 3 6" xfId="2425" xr:uid="{00000000-0005-0000-0000-0000AC0B0000}"/>
    <cellStyle name="Currency 5 2 2 2 3 6 2" xfId="6709" xr:uid="{00000000-0005-0000-0000-0000AD0B0000}"/>
    <cellStyle name="Currency 5 2 2 2 3 6 2 2" xfId="15204" xr:uid="{4B66EC93-8FC2-4FE3-8B16-263EE9EEE322}"/>
    <cellStyle name="Currency 5 2 2 2 3 6 3" xfId="10991" xr:uid="{CFBC241D-02B0-487A-9F8F-3BD3E0B76B5B}"/>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521" xr:uid="{732D8E71-38BB-406D-846D-60751D35E51F}"/>
    <cellStyle name="Currency 5 2 2 2 3 8 3" xfId="11308" xr:uid="{4A6EE2DD-37C8-401D-AFEE-460EA5922009}"/>
    <cellStyle name="Currency 5 2 2 2 3 9" xfId="4643" xr:uid="{00000000-0005-0000-0000-0000B10B0000}"/>
    <cellStyle name="Currency 5 2 2 2 3 9 2" xfId="13139" xr:uid="{AAD887A8-9739-4127-B047-BCC58AA0BE35}"/>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94" xr:uid="{DA5C68E8-D58C-40E4-B9E4-DBE60CDB2ADB}"/>
    <cellStyle name="Currency 5 2 2 2 4 2 3" xfId="11481" xr:uid="{82E0FE9A-A9A0-4A1B-8E14-CFEEFC3FFE2D}"/>
    <cellStyle name="Currency 5 2 2 2 4 3" xfId="5054" xr:uid="{00000000-0005-0000-0000-0000B50B0000}"/>
    <cellStyle name="Currency 5 2 2 2 4 3 2" xfId="13549" xr:uid="{682D3FEA-B825-461A-B704-2E4C81E3FF2C}"/>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107" xr:uid="{B7CAB191-0C1B-4D57-BB5A-F4397DDFC109}"/>
    <cellStyle name="Currency 5 2 2 2 5 2 3" xfId="11894" xr:uid="{4B13D63A-0FEA-4936-947C-CE53F5D58D1E}"/>
    <cellStyle name="Currency 5 2 2 2 5 3" xfId="5467" xr:uid="{00000000-0005-0000-0000-0000B90B0000}"/>
    <cellStyle name="Currency 5 2 2 2 5 3 2" xfId="13962" xr:uid="{E73929C0-7CCA-4A7A-83EC-B881F2659C99}"/>
    <cellStyle name="Currency 5 2 2 2 5 4" xfId="9749" xr:uid="{4028B1C5-DDD0-46A0-BFCD-C63DBE2D6027}"/>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520" xr:uid="{7839E477-A765-4CFA-ABBD-4A311C55B6FF}"/>
    <cellStyle name="Currency 5 2 2 2 6 2 3" xfId="12307" xr:uid="{D46C5D69-988D-4401-9F72-E0383791E477}"/>
    <cellStyle name="Currency 5 2 2 2 6 3" xfId="5880" xr:uid="{00000000-0005-0000-0000-0000BD0B0000}"/>
    <cellStyle name="Currency 5 2 2 2 6 3 2" xfId="14375" xr:uid="{843CC8F0-89F2-4E28-ADEC-2E0B83C23F25}"/>
    <cellStyle name="Currency 5 2 2 2 6 4" xfId="10162" xr:uid="{19158D15-4965-40ED-A345-F60BA6142816}"/>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933" xr:uid="{7893AA1E-C553-4768-AC93-5DD8E39A9AB8}"/>
    <cellStyle name="Currency 5 2 2 2 7 2 3" xfId="12720" xr:uid="{C53A7328-0D13-4A87-9E89-9833A8BF8BA0}"/>
    <cellStyle name="Currency 5 2 2 2 7 3" xfId="6293" xr:uid="{00000000-0005-0000-0000-0000C10B0000}"/>
    <cellStyle name="Currency 5 2 2 2 7 3 2" xfId="14788" xr:uid="{F9AAF152-C5FD-48EA-B723-E5E99FF4BE0E}"/>
    <cellStyle name="Currency 5 2 2 2 7 4" xfId="10575" xr:uid="{FF0EB7A4-3187-48EB-B35A-30A455B8FB51}"/>
    <cellStyle name="Currency 5 2 2 2 8" xfId="2422" xr:uid="{00000000-0005-0000-0000-0000C20B0000}"/>
    <cellStyle name="Currency 5 2 2 2 8 2" xfId="6706" xr:uid="{00000000-0005-0000-0000-0000C30B0000}"/>
    <cellStyle name="Currency 5 2 2 2 8 2 2" xfId="15201" xr:uid="{14EB2244-359F-4A9A-8F54-B43770F0D6B1}"/>
    <cellStyle name="Currency 5 2 2 2 8 3" xfId="10988" xr:uid="{3B6E3F22-7905-46FE-965E-FEABD40E90FF}"/>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140" xr:uid="{5DD149B6-F870-40C0-BDFB-7112E05B622C}"/>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99" xr:uid="{3F0D9E3E-DAE9-4778-AF3E-9CC638C204AE}"/>
    <cellStyle name="Currency 5 2 2 3 2 2 2 3" xfId="11486" xr:uid="{356E4A91-7400-41DA-B952-F6CFE5D3931B}"/>
    <cellStyle name="Currency 5 2 2 3 2 2 3" xfId="5059" xr:uid="{00000000-0005-0000-0000-0000CB0B0000}"/>
    <cellStyle name="Currency 5 2 2 3 2 2 3 2" xfId="13554" xr:uid="{F1AFD9B3-0D9D-4BEA-B24F-B2A46B6AB4BC}"/>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112" xr:uid="{70CE6665-BA97-4ADC-B75D-C2F895276704}"/>
    <cellStyle name="Currency 5 2 2 3 2 3 2 3" xfId="11899" xr:uid="{2B2115E0-B6A9-4D8A-A5C3-0142868ECD7E}"/>
    <cellStyle name="Currency 5 2 2 3 2 3 3" xfId="5472" xr:uid="{00000000-0005-0000-0000-0000CF0B0000}"/>
    <cellStyle name="Currency 5 2 2 3 2 3 3 2" xfId="13967" xr:uid="{E769B089-B2B5-4393-A56C-775AC5F00E1C}"/>
    <cellStyle name="Currency 5 2 2 3 2 3 4" xfId="9754" xr:uid="{D68CC0C4-2C33-4D0A-9386-C455FC7304A2}"/>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525" xr:uid="{D357E0DF-DDF4-4B28-9A39-2DC9E2AA8727}"/>
    <cellStyle name="Currency 5 2 2 3 2 4 2 3" xfId="12312" xr:uid="{A5ECF463-0B72-4198-A320-35D9F6B29885}"/>
    <cellStyle name="Currency 5 2 2 3 2 4 3" xfId="5885" xr:uid="{00000000-0005-0000-0000-0000D30B0000}"/>
    <cellStyle name="Currency 5 2 2 3 2 4 3 2" xfId="14380" xr:uid="{92B4B356-0D6B-4051-8255-8F9C1A1D6DB6}"/>
    <cellStyle name="Currency 5 2 2 3 2 4 4" xfId="10167" xr:uid="{0A9B55CE-6BF8-4E80-8FE1-3CD9F6888792}"/>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938" xr:uid="{9307F9AE-512D-4104-B2AF-FAEED8027D73}"/>
    <cellStyle name="Currency 5 2 2 3 2 5 2 3" xfId="12725" xr:uid="{B1436316-9719-4259-A8F7-7AB042E1EBF6}"/>
    <cellStyle name="Currency 5 2 2 3 2 5 3" xfId="6298" xr:uid="{00000000-0005-0000-0000-0000D70B0000}"/>
    <cellStyle name="Currency 5 2 2 3 2 5 3 2" xfId="14793" xr:uid="{6331361B-EC6C-4BAA-8461-A935502E1EA7}"/>
    <cellStyle name="Currency 5 2 2 3 2 5 4" xfId="10580" xr:uid="{1D2282B2-EE9D-46B8-9C5F-63F8C8A477EB}"/>
    <cellStyle name="Currency 5 2 2 3 2 6" xfId="2427" xr:uid="{00000000-0005-0000-0000-0000D80B0000}"/>
    <cellStyle name="Currency 5 2 2 3 2 6 2" xfId="6711" xr:uid="{00000000-0005-0000-0000-0000D90B0000}"/>
    <cellStyle name="Currency 5 2 2 3 2 6 2 2" xfId="15206" xr:uid="{B47601D5-537A-4FAA-9EBD-F9C61672FBD8}"/>
    <cellStyle name="Currency 5 2 2 3 2 6 3" xfId="10993" xr:uid="{497CFE59-55E0-4835-B003-54E77FBF6BB2}"/>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523" xr:uid="{3B863D37-05E1-40F8-88F4-3A2111A4BEA7}"/>
    <cellStyle name="Currency 5 2 2 3 2 8 3" xfId="11310" xr:uid="{04201405-E6E1-419D-9647-9B5CD2BA34FA}"/>
    <cellStyle name="Currency 5 2 2 3 2 9" xfId="4645" xr:uid="{00000000-0005-0000-0000-0000DD0B0000}"/>
    <cellStyle name="Currency 5 2 2 3 2 9 2" xfId="13141" xr:uid="{28C8030D-8958-41AC-9630-28619255D4C5}"/>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98" xr:uid="{839B86C7-1D58-46FB-A967-A6842A4955CF}"/>
    <cellStyle name="Currency 5 2 2 3 3 2 3" xfId="11485" xr:uid="{F1DD607F-6C18-4980-990C-28C448110DC0}"/>
    <cellStyle name="Currency 5 2 2 3 3 3" xfId="5058" xr:uid="{00000000-0005-0000-0000-0000E10B0000}"/>
    <cellStyle name="Currency 5 2 2 3 3 3 2" xfId="13553" xr:uid="{F870D72F-00DF-408D-BD24-589453F8C568}"/>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111" xr:uid="{3AB6720C-5B6B-4D18-9DF7-FCE7864584EA}"/>
    <cellStyle name="Currency 5 2 2 3 4 2 3" xfId="11898" xr:uid="{51C3143B-DA95-4A26-9143-5A20D91D200B}"/>
    <cellStyle name="Currency 5 2 2 3 4 3" xfId="5471" xr:uid="{00000000-0005-0000-0000-0000E50B0000}"/>
    <cellStyle name="Currency 5 2 2 3 4 3 2" xfId="13966" xr:uid="{FA7F8E08-F691-4B89-BA04-749F40E9164D}"/>
    <cellStyle name="Currency 5 2 2 3 4 4" xfId="9753" xr:uid="{B2B3AA6F-5279-47F4-8789-A72FCF6FC1CF}"/>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524" xr:uid="{15DD5D57-383C-48D5-B224-DC1ABD533A58}"/>
    <cellStyle name="Currency 5 2 2 3 5 2 3" xfId="12311" xr:uid="{F4AFC0C8-ADB4-4262-A546-3BB290F2939F}"/>
    <cellStyle name="Currency 5 2 2 3 5 3" xfId="5884" xr:uid="{00000000-0005-0000-0000-0000E90B0000}"/>
    <cellStyle name="Currency 5 2 2 3 5 3 2" xfId="14379" xr:uid="{8980CDA0-DE6E-494E-9401-02E2AE272C03}"/>
    <cellStyle name="Currency 5 2 2 3 5 4" xfId="10166" xr:uid="{A7AC70B1-2095-411F-9A1F-9E2A86A9B035}"/>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937" xr:uid="{3D9EEBEA-706E-411C-BAEF-46B4F03EBABD}"/>
    <cellStyle name="Currency 5 2 2 3 6 2 3" xfId="12724" xr:uid="{FAE95370-B240-4F07-9272-EC96E4E0DDD3}"/>
    <cellStyle name="Currency 5 2 2 3 6 3" xfId="6297" xr:uid="{00000000-0005-0000-0000-0000ED0B0000}"/>
    <cellStyle name="Currency 5 2 2 3 6 3 2" xfId="14792" xr:uid="{871FBA9C-6915-4EC5-BB4A-CACBC398FFC9}"/>
    <cellStyle name="Currency 5 2 2 3 6 4" xfId="10579" xr:uid="{D2D950C2-9718-49BD-AA93-4877E29D449F}"/>
    <cellStyle name="Currency 5 2 2 3 7" xfId="2426" xr:uid="{00000000-0005-0000-0000-0000EE0B0000}"/>
    <cellStyle name="Currency 5 2 2 3 7 2" xfId="6710" xr:uid="{00000000-0005-0000-0000-0000EF0B0000}"/>
    <cellStyle name="Currency 5 2 2 3 7 2 2" xfId="15205" xr:uid="{045B1F70-80DC-47C9-86B8-4CFA1315288E}"/>
    <cellStyle name="Currency 5 2 2 3 7 3" xfId="10992" xr:uid="{7671613D-F17B-4F87-9736-E57E34CB1178}"/>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522" xr:uid="{372BF46C-5022-4DE8-A133-A66A143C9751}"/>
    <cellStyle name="Currency 5 2 2 3 9 3" xfId="11309" xr:uid="{220E6DE4-7D03-4F99-9846-FA4FA3A82C8A}"/>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700" xr:uid="{18A9091B-D12B-4136-85FA-E263081695FB}"/>
    <cellStyle name="Currency 5 2 2 4 2 2 3" xfId="11487" xr:uid="{A59B171A-1DA7-4AA3-B30F-DBA36372F2D8}"/>
    <cellStyle name="Currency 5 2 2 4 2 3" xfId="5060" xr:uid="{00000000-0005-0000-0000-0000F70B0000}"/>
    <cellStyle name="Currency 5 2 2 4 2 3 2" xfId="13555" xr:uid="{6741F254-1066-4E0D-9C74-261F29AF676D}"/>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113" xr:uid="{A46ED62A-5B53-4357-AA5C-E489046ADA9B}"/>
    <cellStyle name="Currency 5 2 2 4 3 2 3" xfId="11900" xr:uid="{42BFA9B2-8CEE-4D4D-848E-801809AAAC2C}"/>
    <cellStyle name="Currency 5 2 2 4 3 3" xfId="5473" xr:uid="{00000000-0005-0000-0000-0000FB0B0000}"/>
    <cellStyle name="Currency 5 2 2 4 3 3 2" xfId="13968" xr:uid="{268621AD-9BEE-4ACB-AF1C-97AD3765E29F}"/>
    <cellStyle name="Currency 5 2 2 4 3 4" xfId="9755" xr:uid="{33DB661D-8B66-4DA2-BFCC-8363E64CBED6}"/>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526" xr:uid="{81B221A3-1AA3-48BA-8C17-7A63050794D8}"/>
    <cellStyle name="Currency 5 2 2 4 4 2 3" xfId="12313" xr:uid="{AA4B3A0D-0CD6-4D4F-84A6-18BB0CB4CDDC}"/>
    <cellStyle name="Currency 5 2 2 4 4 3" xfId="5886" xr:uid="{00000000-0005-0000-0000-0000FF0B0000}"/>
    <cellStyle name="Currency 5 2 2 4 4 3 2" xfId="14381" xr:uid="{8B4064F3-B228-4271-BB0F-9209DB8EC54D}"/>
    <cellStyle name="Currency 5 2 2 4 4 4" xfId="10168" xr:uid="{F3E08672-5B7A-46EB-9F81-D1025496179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939" xr:uid="{38A9273C-A05B-4704-ABFF-E76891881E46}"/>
    <cellStyle name="Currency 5 2 2 4 5 2 3" xfId="12726" xr:uid="{FA4E25AB-4E04-46F3-95FE-EC874C38A1AF}"/>
    <cellStyle name="Currency 5 2 2 4 5 3" xfId="6299" xr:uid="{00000000-0005-0000-0000-0000030C0000}"/>
    <cellStyle name="Currency 5 2 2 4 5 3 2" xfId="14794" xr:uid="{7E33F7E1-2361-446E-94B5-4F4504FC26ED}"/>
    <cellStyle name="Currency 5 2 2 4 5 4" xfId="10581" xr:uid="{6C61BBB4-2297-4ECF-A90B-84ACD7730799}"/>
    <cellStyle name="Currency 5 2 2 4 6" xfId="2428" xr:uid="{00000000-0005-0000-0000-0000040C0000}"/>
    <cellStyle name="Currency 5 2 2 4 6 2" xfId="6712" xr:uid="{00000000-0005-0000-0000-0000050C0000}"/>
    <cellStyle name="Currency 5 2 2 4 6 2 2" xfId="15207" xr:uid="{7202EB93-1C78-47B1-AD0C-94A968B09604}"/>
    <cellStyle name="Currency 5 2 2 4 6 3" xfId="10994" xr:uid="{6A34AB24-0EA3-4894-A4BF-67EB5FC4FA2D}"/>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524" xr:uid="{3C02F994-60B1-4F0E-81D7-688E5A5C5AC7}"/>
    <cellStyle name="Currency 5 2 2 4 8 3" xfId="11311" xr:uid="{43B98B62-3D79-4768-AF0D-0F4AB96514D6}"/>
    <cellStyle name="Currency 5 2 2 4 9" xfId="4646" xr:uid="{00000000-0005-0000-0000-0000090C0000}"/>
    <cellStyle name="Currency 5 2 2 4 9 2" xfId="13142" xr:uid="{2C4B4963-C118-4F5C-80B8-0FC344F8D38C}"/>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701" xr:uid="{21AEDB3E-55B5-4DC6-825B-EE705D1DAB13}"/>
    <cellStyle name="Currency 5 2 2 5 2 2 3" xfId="11488" xr:uid="{3332136C-D337-4153-B48A-6DBBA35B8025}"/>
    <cellStyle name="Currency 5 2 2 5 2 3" xfId="5061" xr:uid="{00000000-0005-0000-0000-00000E0C0000}"/>
    <cellStyle name="Currency 5 2 2 5 2 3 2" xfId="13556" xr:uid="{A4233E49-35FE-48CD-9790-E101D7C2ED99}"/>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114" xr:uid="{E6C09D69-0967-4BF4-ABDC-19A9E84A006F}"/>
    <cellStyle name="Currency 5 2 2 5 3 2 3" xfId="11901" xr:uid="{9B95956F-8AEE-4F30-8B19-36EEA15CB2A1}"/>
    <cellStyle name="Currency 5 2 2 5 3 3" xfId="5474" xr:uid="{00000000-0005-0000-0000-0000120C0000}"/>
    <cellStyle name="Currency 5 2 2 5 3 3 2" xfId="13969" xr:uid="{408C7B8D-DB67-460A-8A4D-E316B67F5AD5}"/>
    <cellStyle name="Currency 5 2 2 5 3 4" xfId="9756" xr:uid="{7F5F3B62-2D6C-458F-A33B-1B12ACF710AD}"/>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527" xr:uid="{9E615C81-7899-4C38-9A39-671A58206C0E}"/>
    <cellStyle name="Currency 5 2 2 5 4 2 3" xfId="12314" xr:uid="{5C9AB769-7599-460C-80B0-FC9ED905E1CA}"/>
    <cellStyle name="Currency 5 2 2 5 4 3" xfId="5887" xr:uid="{00000000-0005-0000-0000-0000160C0000}"/>
    <cellStyle name="Currency 5 2 2 5 4 3 2" xfId="14382" xr:uid="{8E737D0E-A0C1-4EAF-9F89-B159B2F6A58E}"/>
    <cellStyle name="Currency 5 2 2 5 4 4" xfId="10169" xr:uid="{E2322CE3-D61A-4CDB-9A23-93390E7354B1}"/>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940" xr:uid="{0BF7482C-6874-4571-A322-4856239DC3FB}"/>
    <cellStyle name="Currency 5 2 2 5 5 2 3" xfId="12727" xr:uid="{16D8B53B-ED44-4B4C-818A-29D5747EEC81}"/>
    <cellStyle name="Currency 5 2 2 5 5 3" xfId="6300" xr:uid="{00000000-0005-0000-0000-00001A0C0000}"/>
    <cellStyle name="Currency 5 2 2 5 5 3 2" xfId="14795" xr:uid="{F297F43D-0FA3-4E3C-9169-56B890A255A5}"/>
    <cellStyle name="Currency 5 2 2 5 5 4" xfId="10582" xr:uid="{4EEF45E5-BAC6-4FB2-9147-3CB533586F55}"/>
    <cellStyle name="Currency 5 2 2 5 6" xfId="2429" xr:uid="{00000000-0005-0000-0000-00001B0C0000}"/>
    <cellStyle name="Currency 5 2 2 5 6 2" xfId="6713" xr:uid="{00000000-0005-0000-0000-00001C0C0000}"/>
    <cellStyle name="Currency 5 2 2 5 6 2 2" xfId="15208" xr:uid="{87151833-DDD9-429E-AC12-0948716578F4}"/>
    <cellStyle name="Currency 5 2 2 5 6 3" xfId="10995" xr:uid="{C473A903-90B6-41B0-941F-0F1F2CC99F51}"/>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525" xr:uid="{A8444126-20A0-409F-AC6F-5DAB81CD0A11}"/>
    <cellStyle name="Currency 5 2 2 5 8 3" xfId="11312" xr:uid="{C66CD578-A6F1-4BE0-B977-AF9ED6CCFF4C}"/>
    <cellStyle name="Currency 5 2 2 5 9" xfId="4647" xr:uid="{00000000-0005-0000-0000-0000200C0000}"/>
    <cellStyle name="Currency 5 2 2 5 9 2" xfId="13143" xr:uid="{E51DDB6E-EF30-4648-8C44-AAE7084181F7}"/>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144" xr:uid="{30B007CC-FF3F-4A6B-B715-88CC3E2A86C3}"/>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703" xr:uid="{5C87675B-2132-4822-A66D-8C40696CCF63}"/>
    <cellStyle name="Currency 5 2 4 2 2 2 3" xfId="11490" xr:uid="{0D6E54B4-CEE1-4EA2-A0B0-CD56A27E8979}"/>
    <cellStyle name="Currency 5 2 4 2 2 3" xfId="5063" xr:uid="{00000000-0005-0000-0000-0000290C0000}"/>
    <cellStyle name="Currency 5 2 4 2 2 3 2" xfId="13558" xr:uid="{35DB83CA-E8B8-476F-905E-8DAB89E8AC5C}"/>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116" xr:uid="{D6583631-9943-4930-BCAE-F5EC43EF11B9}"/>
    <cellStyle name="Currency 5 2 4 2 3 2 3" xfId="11903" xr:uid="{C5064DFD-B573-4DCC-B8DA-5F30509BB5E5}"/>
    <cellStyle name="Currency 5 2 4 2 3 3" xfId="5476" xr:uid="{00000000-0005-0000-0000-00002D0C0000}"/>
    <cellStyle name="Currency 5 2 4 2 3 3 2" xfId="13971" xr:uid="{DDBF2748-27F6-492C-BBE2-D2158D37C661}"/>
    <cellStyle name="Currency 5 2 4 2 3 4" xfId="9758" xr:uid="{6D6F95F1-0D2E-4272-8606-A66B4FFDE6F1}"/>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529" xr:uid="{8136245E-22B3-4565-9F4E-C79C7F80488D}"/>
    <cellStyle name="Currency 5 2 4 2 4 2 3" xfId="12316" xr:uid="{50406D0E-0DBC-4950-A795-121F234425DE}"/>
    <cellStyle name="Currency 5 2 4 2 4 3" xfId="5889" xr:uid="{00000000-0005-0000-0000-0000310C0000}"/>
    <cellStyle name="Currency 5 2 4 2 4 3 2" xfId="14384" xr:uid="{709AA668-4061-45ED-8FC8-85E7C1B583D8}"/>
    <cellStyle name="Currency 5 2 4 2 4 4" xfId="10171" xr:uid="{D5960351-7C70-41D0-8713-C37C207DEB84}"/>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942" xr:uid="{AEF6555A-375A-4384-B0B4-6E96865484C6}"/>
    <cellStyle name="Currency 5 2 4 2 5 2 3" xfId="12729" xr:uid="{4D3E9753-BA81-401B-9704-B7080943652F}"/>
    <cellStyle name="Currency 5 2 4 2 5 3" xfId="6302" xr:uid="{00000000-0005-0000-0000-0000350C0000}"/>
    <cellStyle name="Currency 5 2 4 2 5 3 2" xfId="14797" xr:uid="{C09552D5-7820-4B43-BB5B-2035EEF3E898}"/>
    <cellStyle name="Currency 5 2 4 2 5 4" xfId="10584" xr:uid="{837D9040-6CE5-4B8B-B8A6-DF9C45E9D38C}"/>
    <cellStyle name="Currency 5 2 4 2 6" xfId="2431" xr:uid="{00000000-0005-0000-0000-0000360C0000}"/>
    <cellStyle name="Currency 5 2 4 2 6 2" xfId="6715" xr:uid="{00000000-0005-0000-0000-0000370C0000}"/>
    <cellStyle name="Currency 5 2 4 2 6 2 2" xfId="15210" xr:uid="{507A271E-BD05-4DFA-A6C9-665E8AD51CAD}"/>
    <cellStyle name="Currency 5 2 4 2 6 3" xfId="10997" xr:uid="{BA1CE3C1-7A97-4CE8-AE7C-0A0583F41592}"/>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527" xr:uid="{1F333482-8F93-4211-B56A-B34C813D6F9A}"/>
    <cellStyle name="Currency 5 2 4 2 8 3" xfId="11314" xr:uid="{AA3F9130-88D0-4994-9B91-DC11E709D7F6}"/>
    <cellStyle name="Currency 5 2 4 2 9" xfId="4649" xr:uid="{00000000-0005-0000-0000-00003B0C0000}"/>
    <cellStyle name="Currency 5 2 4 2 9 2" xfId="13145" xr:uid="{DB2EC53F-1439-4D57-A063-96443E3663D9}"/>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702" xr:uid="{7DF7031E-1F21-4AC8-96B2-552459D726AB}"/>
    <cellStyle name="Currency 5 2 4 3 2 3" xfId="11489" xr:uid="{6F4A1F83-1A97-4567-95D9-3D613501C306}"/>
    <cellStyle name="Currency 5 2 4 3 3" xfId="5062" xr:uid="{00000000-0005-0000-0000-00003F0C0000}"/>
    <cellStyle name="Currency 5 2 4 3 3 2" xfId="13557" xr:uid="{F8BEB6E6-24EC-40A5-919B-841F2FAE896A}"/>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115" xr:uid="{0F9795F9-5A24-4C29-88E4-32574F2900B5}"/>
    <cellStyle name="Currency 5 2 4 4 2 3" xfId="11902" xr:uid="{CE9C97AD-1621-47D8-827D-F2CC840B1ADA}"/>
    <cellStyle name="Currency 5 2 4 4 3" xfId="5475" xr:uid="{00000000-0005-0000-0000-0000430C0000}"/>
    <cellStyle name="Currency 5 2 4 4 3 2" xfId="13970" xr:uid="{A014F85E-7233-4A35-AC0A-41A95711F89B}"/>
    <cellStyle name="Currency 5 2 4 4 4" xfId="9757" xr:uid="{A63AD5E7-4A47-4867-9BC7-157C7E370707}"/>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528" xr:uid="{FCF5604A-DDF3-41AF-AF00-73A022A65B27}"/>
    <cellStyle name="Currency 5 2 4 5 2 3" xfId="12315" xr:uid="{5B4164F7-0225-424B-8029-F1DBD65BAB7F}"/>
    <cellStyle name="Currency 5 2 4 5 3" xfId="5888" xr:uid="{00000000-0005-0000-0000-0000470C0000}"/>
    <cellStyle name="Currency 5 2 4 5 3 2" xfId="14383" xr:uid="{52B70F0D-D2B5-4908-B522-6B13E3E062A3}"/>
    <cellStyle name="Currency 5 2 4 5 4" xfId="10170" xr:uid="{1F9879F0-B427-4684-B2A3-CBB7C2AC4077}"/>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941" xr:uid="{BDBE813E-19BD-412E-A42E-BE37977B9B36}"/>
    <cellStyle name="Currency 5 2 4 6 2 3" xfId="12728" xr:uid="{62C354A4-95AD-4D21-ADBF-98DA1A8C8289}"/>
    <cellStyle name="Currency 5 2 4 6 3" xfId="6301" xr:uid="{00000000-0005-0000-0000-00004B0C0000}"/>
    <cellStyle name="Currency 5 2 4 6 3 2" xfId="14796" xr:uid="{899329A6-157C-466C-A6B4-00C8B2A3BAB8}"/>
    <cellStyle name="Currency 5 2 4 6 4" xfId="10583" xr:uid="{DF56FB7E-6D3E-410A-BEE2-64D95760C431}"/>
    <cellStyle name="Currency 5 2 4 7" xfId="2430" xr:uid="{00000000-0005-0000-0000-00004C0C0000}"/>
    <cellStyle name="Currency 5 2 4 7 2" xfId="6714" xr:uid="{00000000-0005-0000-0000-00004D0C0000}"/>
    <cellStyle name="Currency 5 2 4 7 2 2" xfId="15209" xr:uid="{173847FB-CB02-42B1-923C-A4FE7B68DBC5}"/>
    <cellStyle name="Currency 5 2 4 7 3" xfId="10996" xr:uid="{95C149C9-02E3-487D-AC16-39103EF05FED}"/>
    <cellStyle name="Currency 5 2 4 8" xfId="2727" xr:uid="{00000000-0005-0000-0000-00004E0C0000}"/>
    <cellStyle name="Currency 5 2 4 9" xfId="2808" xr:uid="{00000000-0005-0000-0000-00004F0C0000}"/>
    <cellStyle name="Currency 5 2 4 9 2" xfId="7031" xr:uid="{00000000-0005-0000-0000-0000500C0000}"/>
    <cellStyle name="Currency 5 2 4 9 2 2" xfId="15526" xr:uid="{DFCBC11C-F0B0-4159-B3CA-D175587DF253}"/>
    <cellStyle name="Currency 5 2 4 9 3" xfId="11313" xr:uid="{22CA9831-7A90-4613-A682-DF80574088D2}"/>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704" xr:uid="{6F60F859-F2EC-4D2E-837D-ADAF3C4F6BDE}"/>
    <cellStyle name="Currency 5 2 5 2 2 3" xfId="11491" xr:uid="{67E2F739-3A76-42EE-B244-BFF03C021F0A}"/>
    <cellStyle name="Currency 5 2 5 2 3" xfId="5064" xr:uid="{00000000-0005-0000-0000-0000550C0000}"/>
    <cellStyle name="Currency 5 2 5 2 3 2" xfId="13559" xr:uid="{3ADE9B14-FAAD-4D93-90DC-2FB08270758A}"/>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117" xr:uid="{A205D252-42DA-4BA3-86D6-790FD58BF83A}"/>
    <cellStyle name="Currency 5 2 5 3 2 3" xfId="11904" xr:uid="{D31B601A-D1AF-4B89-A988-F0A9738354E0}"/>
    <cellStyle name="Currency 5 2 5 3 3" xfId="5477" xr:uid="{00000000-0005-0000-0000-0000590C0000}"/>
    <cellStyle name="Currency 5 2 5 3 3 2" xfId="13972" xr:uid="{0E92EB7D-4974-4121-B27A-C7B45B1362C3}"/>
    <cellStyle name="Currency 5 2 5 3 4" xfId="9759" xr:uid="{8B0538D2-A54A-47DB-90E4-1A9B3D3BE774}"/>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530" xr:uid="{64F20A5B-1376-49BF-B655-4B9D13D3300C}"/>
    <cellStyle name="Currency 5 2 5 4 2 3" xfId="12317" xr:uid="{EAC3F60F-C1B5-4C89-ABF9-410F816A3B0A}"/>
    <cellStyle name="Currency 5 2 5 4 3" xfId="5890" xr:uid="{00000000-0005-0000-0000-00005D0C0000}"/>
    <cellStyle name="Currency 5 2 5 4 3 2" xfId="14385" xr:uid="{C5BC2BCC-0F96-4301-8F61-00720E74DCE7}"/>
    <cellStyle name="Currency 5 2 5 4 4" xfId="10172" xr:uid="{6C6C3AC9-3045-43C9-96A0-C496B0FCD6E0}"/>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943" xr:uid="{7D8136CD-9C7B-42B8-AEA4-71F3324B5642}"/>
    <cellStyle name="Currency 5 2 5 5 2 3" xfId="12730" xr:uid="{83A35966-B06B-4749-A60E-3CE4C6C36945}"/>
    <cellStyle name="Currency 5 2 5 5 3" xfId="6303" xr:uid="{00000000-0005-0000-0000-0000610C0000}"/>
    <cellStyle name="Currency 5 2 5 5 3 2" xfId="14798" xr:uid="{C70B0228-8E67-4464-B67F-E6A53470132A}"/>
    <cellStyle name="Currency 5 2 5 5 4" xfId="10585" xr:uid="{DC2FACF0-1282-4E8B-ABA6-C1E511B6BF8B}"/>
    <cellStyle name="Currency 5 2 5 6" xfId="2432" xr:uid="{00000000-0005-0000-0000-0000620C0000}"/>
    <cellStyle name="Currency 5 2 5 6 2" xfId="6716" xr:uid="{00000000-0005-0000-0000-0000630C0000}"/>
    <cellStyle name="Currency 5 2 5 6 2 2" xfId="15211" xr:uid="{0EA56EA6-0A1B-48AF-9F20-EB88330F6724}"/>
    <cellStyle name="Currency 5 2 5 6 3" xfId="10998" xr:uid="{9A6B2677-62A7-43DE-BD98-DF0C8BD35663}"/>
    <cellStyle name="Currency 5 2 5 7" xfId="2729" xr:uid="{00000000-0005-0000-0000-0000640C0000}"/>
    <cellStyle name="Currency 5 2 5 8" xfId="2810" xr:uid="{00000000-0005-0000-0000-0000650C0000}"/>
    <cellStyle name="Currency 5 2 5 8 2" xfId="7033" xr:uid="{00000000-0005-0000-0000-0000660C0000}"/>
    <cellStyle name="Currency 5 2 5 8 2 2" xfId="15528" xr:uid="{436099E5-4665-4E23-ACD0-14EE333E3E4A}"/>
    <cellStyle name="Currency 5 2 5 8 3" xfId="11315" xr:uid="{98E674D7-FAA0-42A8-86C6-53EC78576279}"/>
    <cellStyle name="Currency 5 2 5 9" xfId="4650" xr:uid="{00000000-0005-0000-0000-0000670C0000}"/>
    <cellStyle name="Currency 5 2 5 9 2" xfId="13146" xr:uid="{F010C554-9E5B-4498-B86A-2BE8A85F86C6}"/>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705" xr:uid="{E89672C0-699E-44EB-94D0-1500323583F9}"/>
    <cellStyle name="Currency 5 2 6 2 2 3" xfId="11492" xr:uid="{ACE87161-BB08-4290-AFA9-FFD72385D6C6}"/>
    <cellStyle name="Currency 5 2 6 2 3" xfId="5065" xr:uid="{00000000-0005-0000-0000-00006C0C0000}"/>
    <cellStyle name="Currency 5 2 6 2 3 2" xfId="13560" xr:uid="{906F5526-E31E-4994-9878-D7C2FF1809B9}"/>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118" xr:uid="{85FAF0B0-3787-4265-96FD-3FC307DF6FD4}"/>
    <cellStyle name="Currency 5 2 6 3 2 3" xfId="11905" xr:uid="{F287E6D5-CB43-4045-8D6C-896A6D54C72E}"/>
    <cellStyle name="Currency 5 2 6 3 3" xfId="5478" xr:uid="{00000000-0005-0000-0000-0000700C0000}"/>
    <cellStyle name="Currency 5 2 6 3 3 2" xfId="13973" xr:uid="{21662715-46C8-4560-8700-9ADCB2A7EFF9}"/>
    <cellStyle name="Currency 5 2 6 3 4" xfId="9760" xr:uid="{1B336C83-4ECC-4121-AB71-990CD040BF7C}"/>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531" xr:uid="{D7FCE978-431B-460E-80E2-47BC5395AFF5}"/>
    <cellStyle name="Currency 5 2 6 4 2 3" xfId="12318" xr:uid="{2AA99577-20E2-4F8C-AA0F-735091D56AE5}"/>
    <cellStyle name="Currency 5 2 6 4 3" xfId="5891" xr:uid="{00000000-0005-0000-0000-0000740C0000}"/>
    <cellStyle name="Currency 5 2 6 4 3 2" xfId="14386" xr:uid="{E0DE0AEE-866B-4925-B409-703ADDC7A02E}"/>
    <cellStyle name="Currency 5 2 6 4 4" xfId="10173" xr:uid="{0D525B2A-487E-4B33-A58D-71AB4EE0430E}"/>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944" xr:uid="{4C9A1690-B7F8-43A7-A65F-5DDCBF2541AF}"/>
    <cellStyle name="Currency 5 2 6 5 2 3" xfId="12731" xr:uid="{70A2CF81-2313-4431-8C3B-FA7A091C90CC}"/>
    <cellStyle name="Currency 5 2 6 5 3" xfId="6304" xr:uid="{00000000-0005-0000-0000-0000780C0000}"/>
    <cellStyle name="Currency 5 2 6 5 3 2" xfId="14799" xr:uid="{D78C8BC8-4B05-40AB-BFD7-982BA77DEA3E}"/>
    <cellStyle name="Currency 5 2 6 5 4" xfId="10586" xr:uid="{6E89D572-0EC9-471C-9ED3-9DFCA9D5F7A3}"/>
    <cellStyle name="Currency 5 2 6 6" xfId="2433" xr:uid="{00000000-0005-0000-0000-0000790C0000}"/>
    <cellStyle name="Currency 5 2 6 6 2" xfId="6717" xr:uid="{00000000-0005-0000-0000-00007A0C0000}"/>
    <cellStyle name="Currency 5 2 6 6 2 2" xfId="15212" xr:uid="{65E1E2CB-ADA6-49EE-9DA4-407904A98BBA}"/>
    <cellStyle name="Currency 5 2 6 6 3" xfId="10999" xr:uid="{AEDD54C4-3781-4344-8E16-3DA3DF57C02C}"/>
    <cellStyle name="Currency 5 2 6 7" xfId="2730" xr:uid="{00000000-0005-0000-0000-00007B0C0000}"/>
    <cellStyle name="Currency 5 2 6 8" xfId="2811" xr:uid="{00000000-0005-0000-0000-00007C0C0000}"/>
    <cellStyle name="Currency 5 2 6 8 2" xfId="7034" xr:uid="{00000000-0005-0000-0000-00007D0C0000}"/>
    <cellStyle name="Currency 5 2 6 8 2 2" xfId="15529" xr:uid="{4E2F06C2-99A5-4888-BCC5-EED20FD95504}"/>
    <cellStyle name="Currency 5 2 6 8 3" xfId="11316" xr:uid="{2DBDF9E1-867F-4ACE-A8CB-1159B19A48E0}"/>
    <cellStyle name="Currency 5 2 6 9" xfId="4651" xr:uid="{00000000-0005-0000-0000-00007E0C0000}"/>
    <cellStyle name="Currency 5 2 6 9 2" xfId="13147" xr:uid="{25635646-A98D-408E-BA63-ABB262001CCB}"/>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530" xr:uid="{B230A72E-25D0-4352-9C35-D82BAE613AE3}"/>
    <cellStyle name="Currency 5 3 2 10 3" xfId="11317" xr:uid="{0DE32DDB-1D18-4B25-BA9C-72A9608BC6DC}"/>
    <cellStyle name="Currency 5 3 2 11" xfId="4652" xr:uid="{00000000-0005-0000-0000-0000840C0000}"/>
    <cellStyle name="Currency 5 3 2 11 2" xfId="13148" xr:uid="{EBC96921-888D-43F3-9F6E-FB869DF8934D}"/>
    <cellStyle name="Currency 5 3 2 12" xfId="8810" xr:uid="{C5234FF9-D509-4CD8-ADA1-D3604CCF3D1F}"/>
    <cellStyle name="Currency 5 3 2 2" xfId="211" xr:uid="{00000000-0005-0000-0000-0000850C0000}"/>
    <cellStyle name="Currency 5 3 2 2 10" xfId="4653" xr:uid="{00000000-0005-0000-0000-0000860C0000}"/>
    <cellStyle name="Currency 5 3 2 2 10 2" xfId="13149" xr:uid="{39A6815E-30CB-407D-B7D2-C6CDEC9D265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708" xr:uid="{F25197C3-A38E-4E3C-8339-4D47F5087E08}"/>
    <cellStyle name="Currency 5 3 2 2 2 2 2 3" xfId="11495" xr:uid="{2732D41B-9C19-42A8-A9EC-2D937ED0E550}"/>
    <cellStyle name="Currency 5 3 2 2 2 2 3" xfId="5068" xr:uid="{00000000-0005-0000-0000-00008B0C0000}"/>
    <cellStyle name="Currency 5 3 2 2 2 2 3 2" xfId="13563" xr:uid="{D103637D-D059-4EE2-8076-F8BA29F137E5}"/>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121" xr:uid="{932CAA84-2AAA-43F3-A071-603A991DA445}"/>
    <cellStyle name="Currency 5 3 2 2 2 3 2 3" xfId="11908" xr:uid="{14CFB296-E3CA-493D-9AE2-1DD9D3154AD4}"/>
    <cellStyle name="Currency 5 3 2 2 2 3 3" xfId="5481" xr:uid="{00000000-0005-0000-0000-00008F0C0000}"/>
    <cellStyle name="Currency 5 3 2 2 2 3 3 2" xfId="13976" xr:uid="{EDF69847-3928-4E81-926F-FBBCD51A75BF}"/>
    <cellStyle name="Currency 5 3 2 2 2 3 4" xfId="9763" xr:uid="{3F1BB4DB-F30E-4D75-877A-0C745AF8B677}"/>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534" xr:uid="{75540353-7262-42DC-ADC8-7845795CF5EF}"/>
    <cellStyle name="Currency 5 3 2 2 2 4 2 3" xfId="12321" xr:uid="{84DFDE7F-B1E6-411D-8853-F71B765287E0}"/>
    <cellStyle name="Currency 5 3 2 2 2 4 3" xfId="5894" xr:uid="{00000000-0005-0000-0000-0000930C0000}"/>
    <cellStyle name="Currency 5 3 2 2 2 4 3 2" xfId="14389" xr:uid="{DF6AB222-158B-4779-A3B0-706F839BBC14}"/>
    <cellStyle name="Currency 5 3 2 2 2 4 4" xfId="10176" xr:uid="{79AF252B-B08B-4791-A84D-D34C562BB1CF}"/>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47" xr:uid="{1CFAAE03-35EF-46EB-9A07-9F0D361B0979}"/>
    <cellStyle name="Currency 5 3 2 2 2 5 2 3" xfId="12734" xr:uid="{70C46FA1-C572-41E5-99C3-81625722F37F}"/>
    <cellStyle name="Currency 5 3 2 2 2 5 3" xfId="6307" xr:uid="{00000000-0005-0000-0000-0000970C0000}"/>
    <cellStyle name="Currency 5 3 2 2 2 5 3 2" xfId="14802" xr:uid="{6BA49FBE-5F2C-48D7-AF99-F9CBA41F36AA}"/>
    <cellStyle name="Currency 5 3 2 2 2 5 4" xfId="10589" xr:uid="{91B287A8-DCAE-41DF-A26C-7E6B28D375F1}"/>
    <cellStyle name="Currency 5 3 2 2 2 6" xfId="2436" xr:uid="{00000000-0005-0000-0000-0000980C0000}"/>
    <cellStyle name="Currency 5 3 2 2 2 6 2" xfId="6720" xr:uid="{00000000-0005-0000-0000-0000990C0000}"/>
    <cellStyle name="Currency 5 3 2 2 2 6 2 2" xfId="15215" xr:uid="{09FFCC35-9662-46AA-8EB2-057E6CE0C6C6}"/>
    <cellStyle name="Currency 5 3 2 2 2 6 3" xfId="11002" xr:uid="{132A960A-3D45-4E3F-878A-FE3F2F7E2995}"/>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532" xr:uid="{44D8174E-B3A0-437C-AE16-51529DE1A455}"/>
    <cellStyle name="Currency 5 3 2 2 2 8 3" xfId="11319" xr:uid="{078DA073-6937-4A41-88A6-9E75FCBA937A}"/>
    <cellStyle name="Currency 5 3 2 2 2 9" xfId="4654" xr:uid="{00000000-0005-0000-0000-00009D0C0000}"/>
    <cellStyle name="Currency 5 3 2 2 2 9 2" xfId="13150" xr:uid="{31ABD0A3-B3B1-4A16-BDCD-ED9B5AD51A34}"/>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707" xr:uid="{1CEECE5B-CE86-4E4E-B9C9-A3CB516725C5}"/>
    <cellStyle name="Currency 5 3 2 2 3 2 3" xfId="11494" xr:uid="{785EBE68-0DBD-4071-8EEB-B7F9BCEEA89F}"/>
    <cellStyle name="Currency 5 3 2 2 3 3" xfId="5067" xr:uid="{00000000-0005-0000-0000-0000A10C0000}"/>
    <cellStyle name="Currency 5 3 2 2 3 3 2" xfId="13562" xr:uid="{0BC2BCDF-1E55-4467-BA54-A25356060739}"/>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120" xr:uid="{764C7D3A-1AB3-4BA1-8AA9-E3E5AAB8B83D}"/>
    <cellStyle name="Currency 5 3 2 2 4 2 3" xfId="11907" xr:uid="{38F9CF2B-D2FF-4EC3-864D-9550F98E153B}"/>
    <cellStyle name="Currency 5 3 2 2 4 3" xfId="5480" xr:uid="{00000000-0005-0000-0000-0000A50C0000}"/>
    <cellStyle name="Currency 5 3 2 2 4 3 2" xfId="13975" xr:uid="{89606886-AF49-4E57-A67B-F4ADBECF29BB}"/>
    <cellStyle name="Currency 5 3 2 2 4 4" xfId="9762" xr:uid="{64D6DEBB-0D25-4E58-8A5B-8D8A41756D38}"/>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533" xr:uid="{563C9CEC-9F09-4C4F-95A4-ACB9ADFB1816}"/>
    <cellStyle name="Currency 5 3 2 2 5 2 3" xfId="12320" xr:uid="{36E3A944-CCD2-4B3A-9385-0DA713674876}"/>
    <cellStyle name="Currency 5 3 2 2 5 3" xfId="5893" xr:uid="{00000000-0005-0000-0000-0000A90C0000}"/>
    <cellStyle name="Currency 5 3 2 2 5 3 2" xfId="14388" xr:uid="{87955A00-6566-4292-81A1-B4B224D9B658}"/>
    <cellStyle name="Currency 5 3 2 2 5 4" xfId="10175" xr:uid="{83B76AD0-FBBF-4A7C-B625-1E231EC26A11}"/>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46" xr:uid="{D074A23E-5FBC-49B6-83BA-5C79A70E940B}"/>
    <cellStyle name="Currency 5 3 2 2 6 2 3" xfId="12733" xr:uid="{6B0DA8E5-365F-4048-8C8C-07B43CE9AF65}"/>
    <cellStyle name="Currency 5 3 2 2 6 3" xfId="6306" xr:uid="{00000000-0005-0000-0000-0000AD0C0000}"/>
    <cellStyle name="Currency 5 3 2 2 6 3 2" xfId="14801" xr:uid="{E79FC49C-92E5-4408-91C6-01A56AE02020}"/>
    <cellStyle name="Currency 5 3 2 2 6 4" xfId="10588" xr:uid="{ED7517FB-2339-42DB-8AED-C4758D47FEA7}"/>
    <cellStyle name="Currency 5 3 2 2 7" xfId="2435" xr:uid="{00000000-0005-0000-0000-0000AE0C0000}"/>
    <cellStyle name="Currency 5 3 2 2 7 2" xfId="6719" xr:uid="{00000000-0005-0000-0000-0000AF0C0000}"/>
    <cellStyle name="Currency 5 3 2 2 7 2 2" xfId="15214" xr:uid="{897E1BBE-74C2-4528-9576-3E0CE51EB835}"/>
    <cellStyle name="Currency 5 3 2 2 7 3" xfId="11001" xr:uid="{7C3FCA71-12A3-4651-BB80-EC089452EB54}"/>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531" xr:uid="{27883895-CE3A-470D-AC96-F15EF19A0CB7}"/>
    <cellStyle name="Currency 5 3 2 2 9 3" xfId="11318" xr:uid="{7C15BE84-8705-4DC3-8DCA-46A30E457AD8}"/>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709" xr:uid="{EEAFBAA4-C32E-44C0-9223-AE378135C9C0}"/>
    <cellStyle name="Currency 5 3 2 3 2 2 3" xfId="11496" xr:uid="{FAB07803-ED6D-4762-B14B-72ED1F77C004}"/>
    <cellStyle name="Currency 5 3 2 3 2 3" xfId="5069" xr:uid="{00000000-0005-0000-0000-0000B70C0000}"/>
    <cellStyle name="Currency 5 3 2 3 2 3 2" xfId="13564" xr:uid="{140D118E-9452-4CDB-934D-56965D630EEE}"/>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122" xr:uid="{51EA5CCE-0741-4535-BA8F-F6EEC64DC88E}"/>
    <cellStyle name="Currency 5 3 2 3 3 2 3" xfId="11909" xr:uid="{E28F51EE-8EC1-4B28-9002-5DF2E041CE0A}"/>
    <cellStyle name="Currency 5 3 2 3 3 3" xfId="5482" xr:uid="{00000000-0005-0000-0000-0000BB0C0000}"/>
    <cellStyle name="Currency 5 3 2 3 3 3 2" xfId="13977" xr:uid="{B66581BE-02F5-4F4A-81CF-8BB811BCCA9B}"/>
    <cellStyle name="Currency 5 3 2 3 3 4" xfId="9764" xr:uid="{B15926D2-1CB6-460C-99C0-EC92A99E2B81}"/>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535" xr:uid="{81EBFE15-6ED9-4711-A853-DC9DAAE7EF3B}"/>
    <cellStyle name="Currency 5 3 2 3 4 2 3" xfId="12322" xr:uid="{5DF2AFF8-C71C-4CCC-B586-5C95D45B5D39}"/>
    <cellStyle name="Currency 5 3 2 3 4 3" xfId="5895" xr:uid="{00000000-0005-0000-0000-0000BF0C0000}"/>
    <cellStyle name="Currency 5 3 2 3 4 3 2" xfId="14390" xr:uid="{442AEF7B-78E8-4D4A-8FF6-721EF85059B7}"/>
    <cellStyle name="Currency 5 3 2 3 4 4" xfId="10177" xr:uid="{E6A6815A-623D-4C44-A5EC-44743557FF58}"/>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48" xr:uid="{8DB132A3-100B-4584-82EC-EC9B576B0148}"/>
    <cellStyle name="Currency 5 3 2 3 5 2 3" xfId="12735" xr:uid="{5552F5D3-6D28-4423-98FA-46F420363DA1}"/>
    <cellStyle name="Currency 5 3 2 3 5 3" xfId="6308" xr:uid="{00000000-0005-0000-0000-0000C30C0000}"/>
    <cellStyle name="Currency 5 3 2 3 5 3 2" xfId="14803" xr:uid="{53567353-75C4-471E-966D-31C6F8DB82F9}"/>
    <cellStyle name="Currency 5 3 2 3 5 4" xfId="10590" xr:uid="{F56AE040-0BA1-47D4-90A8-637D79AD5D82}"/>
    <cellStyle name="Currency 5 3 2 3 6" xfId="2437" xr:uid="{00000000-0005-0000-0000-0000C40C0000}"/>
    <cellStyle name="Currency 5 3 2 3 6 2" xfId="6721" xr:uid="{00000000-0005-0000-0000-0000C50C0000}"/>
    <cellStyle name="Currency 5 3 2 3 6 2 2" xfId="15216" xr:uid="{69479E38-DE40-41FB-95A5-4977AEFDC3DB}"/>
    <cellStyle name="Currency 5 3 2 3 6 3" xfId="11003" xr:uid="{0C9A0867-CEA8-4C19-AE25-C9B90328B0FE}"/>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533" xr:uid="{A284F000-29CB-48A4-B05D-B054CBBD711A}"/>
    <cellStyle name="Currency 5 3 2 3 8 3" xfId="11320" xr:uid="{8CCD9053-DFD4-4199-8D32-642F8645ADB9}"/>
    <cellStyle name="Currency 5 3 2 3 9" xfId="4655" xr:uid="{00000000-0005-0000-0000-0000C90C0000}"/>
    <cellStyle name="Currency 5 3 2 3 9 2" xfId="13151" xr:uid="{811F8091-14E4-40C5-9CA6-4433743834BF}"/>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706" xr:uid="{53CC5129-1038-4D31-88D0-CFF7F88370D5}"/>
    <cellStyle name="Currency 5 3 2 4 2 3" xfId="11493" xr:uid="{99490DD4-8056-4A3B-8992-D0DE23C9171F}"/>
    <cellStyle name="Currency 5 3 2 4 3" xfId="5066" xr:uid="{00000000-0005-0000-0000-0000CD0C0000}"/>
    <cellStyle name="Currency 5 3 2 4 3 2" xfId="13561" xr:uid="{82054792-1A96-4E36-B344-52B3E14B89C3}"/>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119" xr:uid="{F4304D7B-576E-443A-A8AE-524C34B8EC0E}"/>
    <cellStyle name="Currency 5 3 2 5 2 3" xfId="11906" xr:uid="{4F3FFDB4-FD87-4366-B607-3F54F8D00D7B}"/>
    <cellStyle name="Currency 5 3 2 5 3" xfId="5479" xr:uid="{00000000-0005-0000-0000-0000D10C0000}"/>
    <cellStyle name="Currency 5 3 2 5 3 2" xfId="13974" xr:uid="{D4039B56-39A2-4AE5-826E-F1A50CA7551A}"/>
    <cellStyle name="Currency 5 3 2 5 4" xfId="9761" xr:uid="{03BD1968-32C0-49EE-834B-0FF720C4FB9C}"/>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532" xr:uid="{D73C98BF-4F84-41E8-88FE-094B73C7C1BE}"/>
    <cellStyle name="Currency 5 3 2 6 2 3" xfId="12319" xr:uid="{E8AA7F7F-8697-4837-B5A7-59000BA227BD}"/>
    <cellStyle name="Currency 5 3 2 6 3" xfId="5892" xr:uid="{00000000-0005-0000-0000-0000D50C0000}"/>
    <cellStyle name="Currency 5 3 2 6 3 2" xfId="14387" xr:uid="{91E5BE6A-AD16-43CD-8831-ED4933F7679B}"/>
    <cellStyle name="Currency 5 3 2 6 4" xfId="10174" xr:uid="{3D025AFC-6654-472E-9BCE-1BE26777CB6F}"/>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45" xr:uid="{4CD783F0-535E-490A-B5F2-BDBD50E9EE39}"/>
    <cellStyle name="Currency 5 3 2 7 2 3" xfId="12732" xr:uid="{620F13F6-44B4-42DF-956C-1A31366D3734}"/>
    <cellStyle name="Currency 5 3 2 7 3" xfId="6305" xr:uid="{00000000-0005-0000-0000-0000D90C0000}"/>
    <cellStyle name="Currency 5 3 2 7 3 2" xfId="14800" xr:uid="{1A7E79C4-98F6-4CD5-9DAB-BFEC26751561}"/>
    <cellStyle name="Currency 5 3 2 7 4" xfId="10587" xr:uid="{E3F9DFB0-EC5F-4576-9C5C-A77DB00F0AA5}"/>
    <cellStyle name="Currency 5 3 2 8" xfId="2434" xr:uid="{00000000-0005-0000-0000-0000DA0C0000}"/>
    <cellStyle name="Currency 5 3 2 8 2" xfId="6718" xr:uid="{00000000-0005-0000-0000-0000DB0C0000}"/>
    <cellStyle name="Currency 5 3 2 8 2 2" xfId="15213" xr:uid="{19033A23-19DE-4D09-A302-9E38FA834782}"/>
    <cellStyle name="Currency 5 3 2 8 3" xfId="11000" xr:uid="{3A23828C-406E-41CC-8646-E30B2E00C65D}"/>
    <cellStyle name="Currency 5 3 2 9" xfId="2731" xr:uid="{00000000-0005-0000-0000-0000DC0C0000}"/>
    <cellStyle name="Currency 5 3 3" xfId="214" xr:uid="{00000000-0005-0000-0000-0000DD0C0000}"/>
    <cellStyle name="Currency 5 3 3 10" xfId="4656" xr:uid="{00000000-0005-0000-0000-0000DE0C0000}"/>
    <cellStyle name="Currency 5 3 3 10 2" xfId="13152" xr:uid="{4BC36718-8812-4149-AEFF-8352DEE2542F}"/>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711" xr:uid="{FA992094-7F28-4A52-AD61-12B94C8DD300}"/>
    <cellStyle name="Currency 5 3 3 2 2 2 3" xfId="11498" xr:uid="{CCCABA85-9B06-4B29-B84E-656EB7E2F2FC}"/>
    <cellStyle name="Currency 5 3 3 2 2 3" xfId="5071" xr:uid="{00000000-0005-0000-0000-0000E30C0000}"/>
    <cellStyle name="Currency 5 3 3 2 2 3 2" xfId="13566" xr:uid="{398B2B6F-626B-4670-8E09-88E47D529AF4}"/>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124" xr:uid="{13485B76-8B61-4EAB-BC15-3DE320204BB7}"/>
    <cellStyle name="Currency 5 3 3 2 3 2 3" xfId="11911" xr:uid="{8D567509-BAEC-480D-A98D-8A2EA849B330}"/>
    <cellStyle name="Currency 5 3 3 2 3 3" xfId="5484" xr:uid="{00000000-0005-0000-0000-0000E70C0000}"/>
    <cellStyle name="Currency 5 3 3 2 3 3 2" xfId="13979" xr:uid="{C39738E4-C90D-4D87-929E-79E44B9B7DE4}"/>
    <cellStyle name="Currency 5 3 3 2 3 4" xfId="9766" xr:uid="{4C4158A3-13B7-420E-A862-7746E3BF9824}"/>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537" xr:uid="{E50EE8D7-4C43-4990-A885-9B0DF436F9A2}"/>
    <cellStyle name="Currency 5 3 3 2 4 2 3" xfId="12324" xr:uid="{C18BF6E1-46FE-4317-8750-8BD9B3F377D2}"/>
    <cellStyle name="Currency 5 3 3 2 4 3" xfId="5897" xr:uid="{00000000-0005-0000-0000-0000EB0C0000}"/>
    <cellStyle name="Currency 5 3 3 2 4 3 2" xfId="14392" xr:uid="{8F00AEA9-98B7-4884-8AA1-502368A35238}"/>
    <cellStyle name="Currency 5 3 3 2 4 4" xfId="10179" xr:uid="{8752A195-0C7D-4E7A-9555-D0790C93774D}"/>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50" xr:uid="{7E1B57F5-E6EC-4C67-9531-0870A82171C6}"/>
    <cellStyle name="Currency 5 3 3 2 5 2 3" xfId="12737" xr:uid="{0EA758F9-7F1D-457E-B7E1-64E8ACEC873C}"/>
    <cellStyle name="Currency 5 3 3 2 5 3" xfId="6310" xr:uid="{00000000-0005-0000-0000-0000EF0C0000}"/>
    <cellStyle name="Currency 5 3 3 2 5 3 2" xfId="14805" xr:uid="{B0A83122-39B9-4F1E-93A7-D79CA446396A}"/>
    <cellStyle name="Currency 5 3 3 2 5 4" xfId="10592" xr:uid="{CCCD9D8D-6D35-40D2-93A1-FEC1C9B51786}"/>
    <cellStyle name="Currency 5 3 3 2 6" xfId="2439" xr:uid="{00000000-0005-0000-0000-0000F00C0000}"/>
    <cellStyle name="Currency 5 3 3 2 6 2" xfId="6723" xr:uid="{00000000-0005-0000-0000-0000F10C0000}"/>
    <cellStyle name="Currency 5 3 3 2 6 2 2" xfId="15218" xr:uid="{EE59FA73-C56E-4FB7-9AC2-53CA43056E6E}"/>
    <cellStyle name="Currency 5 3 3 2 6 3" xfId="11005" xr:uid="{DA33FE5A-E4B8-49DC-B333-C413231E9030}"/>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535" xr:uid="{8D62A4B5-5187-4F05-A702-F52FC0DA45D8}"/>
    <cellStyle name="Currency 5 3 3 2 8 3" xfId="11322" xr:uid="{409F6415-30C3-410B-A76C-AA3EDFDC8186}"/>
    <cellStyle name="Currency 5 3 3 2 9" xfId="4657" xr:uid="{00000000-0005-0000-0000-0000F50C0000}"/>
    <cellStyle name="Currency 5 3 3 2 9 2" xfId="13153" xr:uid="{15E3B80B-B1A4-4361-B6E1-3BC5CA74189E}"/>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710" xr:uid="{DEB9298F-6326-4B58-8E09-E74F09529503}"/>
    <cellStyle name="Currency 5 3 3 3 2 3" xfId="11497" xr:uid="{A92C1549-6881-4759-8D73-469367E58C65}"/>
    <cellStyle name="Currency 5 3 3 3 3" xfId="5070" xr:uid="{00000000-0005-0000-0000-0000F90C0000}"/>
    <cellStyle name="Currency 5 3 3 3 3 2" xfId="13565" xr:uid="{EBBF1AFF-7E14-4111-804C-B44E4A14613F}"/>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123" xr:uid="{875CBA47-36AA-4AAA-A4C0-1D8D3C0D4A62}"/>
    <cellStyle name="Currency 5 3 3 4 2 3" xfId="11910" xr:uid="{5CC7AEFC-315C-4E27-9624-5C020BF03E72}"/>
    <cellStyle name="Currency 5 3 3 4 3" xfId="5483" xr:uid="{00000000-0005-0000-0000-0000FD0C0000}"/>
    <cellStyle name="Currency 5 3 3 4 3 2" xfId="13978" xr:uid="{183AE91A-7F93-4C40-8498-9DE82C31A567}"/>
    <cellStyle name="Currency 5 3 3 4 4" xfId="9765" xr:uid="{9E1F58F4-47AE-414C-AC11-8466C6CC83A1}"/>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536" xr:uid="{8A0FD312-0150-4291-81AC-84331DFB849A}"/>
    <cellStyle name="Currency 5 3 3 5 2 3" xfId="12323" xr:uid="{D184A7F6-BD11-45B4-BCC1-699F048E4950}"/>
    <cellStyle name="Currency 5 3 3 5 3" xfId="5896" xr:uid="{00000000-0005-0000-0000-0000010D0000}"/>
    <cellStyle name="Currency 5 3 3 5 3 2" xfId="14391" xr:uid="{7D84C5C6-354E-4A37-8490-9BE1A9DD06A7}"/>
    <cellStyle name="Currency 5 3 3 5 4" xfId="10178" xr:uid="{5A8007A0-7B73-452F-9671-6BE4C5B317B6}"/>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49" xr:uid="{E554981A-C479-426B-BE0E-A1C26A3B25A8}"/>
    <cellStyle name="Currency 5 3 3 6 2 3" xfId="12736" xr:uid="{DB6E75FF-9A55-43E0-A64C-8DF7DC53FEE8}"/>
    <cellStyle name="Currency 5 3 3 6 3" xfId="6309" xr:uid="{00000000-0005-0000-0000-0000050D0000}"/>
    <cellStyle name="Currency 5 3 3 6 3 2" xfId="14804" xr:uid="{5B9204B9-800B-431F-802B-A9D3AF02AE59}"/>
    <cellStyle name="Currency 5 3 3 6 4" xfId="10591" xr:uid="{D15EBE50-CD30-405C-8ED0-E6A02D9C1E81}"/>
    <cellStyle name="Currency 5 3 3 7" xfId="2438" xr:uid="{00000000-0005-0000-0000-0000060D0000}"/>
    <cellStyle name="Currency 5 3 3 7 2" xfId="6722" xr:uid="{00000000-0005-0000-0000-0000070D0000}"/>
    <cellStyle name="Currency 5 3 3 7 2 2" xfId="15217" xr:uid="{5CF7E46C-4F04-4550-95A8-58812076136B}"/>
    <cellStyle name="Currency 5 3 3 7 3" xfId="11004" xr:uid="{D392744C-920C-4D66-BA07-EE36E9931A01}"/>
    <cellStyle name="Currency 5 3 3 8" xfId="2735" xr:uid="{00000000-0005-0000-0000-0000080D0000}"/>
    <cellStyle name="Currency 5 3 3 9" xfId="2816" xr:uid="{00000000-0005-0000-0000-0000090D0000}"/>
    <cellStyle name="Currency 5 3 3 9 2" xfId="7039" xr:uid="{00000000-0005-0000-0000-00000A0D0000}"/>
    <cellStyle name="Currency 5 3 3 9 2 2" xfId="15534" xr:uid="{F53DE1DF-BE2F-449C-A24A-855277872A61}"/>
    <cellStyle name="Currency 5 3 3 9 3" xfId="11321" xr:uid="{E03BED43-39D9-495E-85E7-B46E56223553}"/>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712" xr:uid="{05EAEA7C-4F55-4ACC-8EFE-80ECDC2F7561}"/>
    <cellStyle name="Currency 5 3 4 2 2 3" xfId="11499" xr:uid="{048E8526-8F0D-49BF-8EC8-B5737577D411}"/>
    <cellStyle name="Currency 5 3 4 2 3" xfId="5072" xr:uid="{00000000-0005-0000-0000-00000F0D0000}"/>
    <cellStyle name="Currency 5 3 4 2 3 2" xfId="13567" xr:uid="{0EB6A1D8-7182-46EA-A587-169808FA9DB1}"/>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125" xr:uid="{803EF19A-BE45-4982-8F5C-FC24B9A5368A}"/>
    <cellStyle name="Currency 5 3 4 3 2 3" xfId="11912" xr:uid="{D936477C-4ACB-440E-A792-B2D6EC4B7129}"/>
    <cellStyle name="Currency 5 3 4 3 3" xfId="5485" xr:uid="{00000000-0005-0000-0000-0000130D0000}"/>
    <cellStyle name="Currency 5 3 4 3 3 2" xfId="13980" xr:uid="{0F91BEC5-1E33-43B1-A6F4-DE7E0E54B7A0}"/>
    <cellStyle name="Currency 5 3 4 3 4" xfId="9767" xr:uid="{AFA534F1-E205-49C1-A997-8FFD59968F9A}"/>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538" xr:uid="{F65C4CF5-5ABC-41D6-B8A0-AD4715723E62}"/>
    <cellStyle name="Currency 5 3 4 4 2 3" xfId="12325" xr:uid="{3972BB58-3279-4B90-B5B4-31FDD5CB5880}"/>
    <cellStyle name="Currency 5 3 4 4 3" xfId="5898" xr:uid="{00000000-0005-0000-0000-0000170D0000}"/>
    <cellStyle name="Currency 5 3 4 4 3 2" xfId="14393" xr:uid="{10C8FE38-0143-45A1-A3ED-B3FA7978C6B4}"/>
    <cellStyle name="Currency 5 3 4 4 4" xfId="10180" xr:uid="{10FD96B5-DD63-4B14-9F57-5360F5B8DB42}"/>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51" xr:uid="{39338341-A933-41C3-B077-D80E54658CF1}"/>
    <cellStyle name="Currency 5 3 4 5 2 3" xfId="12738" xr:uid="{E6F83F03-4651-48D3-A812-1FD47B4D8F44}"/>
    <cellStyle name="Currency 5 3 4 5 3" xfId="6311" xr:uid="{00000000-0005-0000-0000-00001B0D0000}"/>
    <cellStyle name="Currency 5 3 4 5 3 2" xfId="14806" xr:uid="{3B2A108D-CD1A-4EC3-8252-97887CB27233}"/>
    <cellStyle name="Currency 5 3 4 5 4" xfId="10593" xr:uid="{6CFDBC71-CC75-44B8-8251-D797EE4FA328}"/>
    <cellStyle name="Currency 5 3 4 6" xfId="2440" xr:uid="{00000000-0005-0000-0000-00001C0D0000}"/>
    <cellStyle name="Currency 5 3 4 6 2" xfId="6724" xr:uid="{00000000-0005-0000-0000-00001D0D0000}"/>
    <cellStyle name="Currency 5 3 4 6 2 2" xfId="15219" xr:uid="{5AA41062-5B1D-463D-90A5-1DAF98218E54}"/>
    <cellStyle name="Currency 5 3 4 6 3" xfId="11006" xr:uid="{0BEB3C2D-2BC6-421B-9B93-15039BA10143}"/>
    <cellStyle name="Currency 5 3 4 7" xfId="2737" xr:uid="{00000000-0005-0000-0000-00001E0D0000}"/>
    <cellStyle name="Currency 5 3 4 8" xfId="2818" xr:uid="{00000000-0005-0000-0000-00001F0D0000}"/>
    <cellStyle name="Currency 5 3 4 8 2" xfId="7041" xr:uid="{00000000-0005-0000-0000-0000200D0000}"/>
    <cellStyle name="Currency 5 3 4 8 2 2" xfId="15536" xr:uid="{BA0A6E5F-7B4E-45D1-B9EA-C6944E53C5E1}"/>
    <cellStyle name="Currency 5 3 4 8 3" xfId="11323" xr:uid="{5D6E171A-3216-47C3-BFB2-8CF1205ACE16}"/>
    <cellStyle name="Currency 5 3 4 9" xfId="4658" xr:uid="{00000000-0005-0000-0000-0000210D0000}"/>
    <cellStyle name="Currency 5 3 4 9 2" xfId="13154" xr:uid="{A9ECDA3A-A27D-4107-AA00-1828371E91EC}"/>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713" xr:uid="{AC65E43C-8AFB-4FA2-BF89-C5239EBB5E45}"/>
    <cellStyle name="Currency 5 3 5 2 2 3" xfId="11500" xr:uid="{F9A77455-04F9-4C2D-A5F4-B12A08D1804A}"/>
    <cellStyle name="Currency 5 3 5 2 3" xfId="5073" xr:uid="{00000000-0005-0000-0000-0000260D0000}"/>
    <cellStyle name="Currency 5 3 5 2 3 2" xfId="13568" xr:uid="{23EE32EF-ED94-4734-9309-1AD4C0989239}"/>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126" xr:uid="{211D681E-A903-4BCA-947B-FE1481747387}"/>
    <cellStyle name="Currency 5 3 5 3 2 3" xfId="11913" xr:uid="{858A791A-E97F-4842-BC29-4644A34E41AE}"/>
    <cellStyle name="Currency 5 3 5 3 3" xfId="5486" xr:uid="{00000000-0005-0000-0000-00002A0D0000}"/>
    <cellStyle name="Currency 5 3 5 3 3 2" xfId="13981" xr:uid="{BDBDDDF4-B920-49C0-9F64-8C2F0F6B8BB1}"/>
    <cellStyle name="Currency 5 3 5 3 4" xfId="9768" xr:uid="{3B8CF87A-DFCC-42CA-8D3D-C0EDD7920EAC}"/>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539" xr:uid="{656BA5C4-DB6E-4A89-BC28-A91FF2FC5A42}"/>
    <cellStyle name="Currency 5 3 5 4 2 3" xfId="12326" xr:uid="{E900C16B-20C2-4CB3-AEEA-458FB144040C}"/>
    <cellStyle name="Currency 5 3 5 4 3" xfId="5899" xr:uid="{00000000-0005-0000-0000-00002E0D0000}"/>
    <cellStyle name="Currency 5 3 5 4 3 2" xfId="14394" xr:uid="{84082C43-6297-4FC4-83C4-20B799C40D31}"/>
    <cellStyle name="Currency 5 3 5 4 4" xfId="10181" xr:uid="{34B41D39-1976-41DC-B2DD-CC13CEF1DCF7}"/>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52" xr:uid="{04013589-4510-4D33-800E-97EC8CB56494}"/>
    <cellStyle name="Currency 5 3 5 5 2 3" xfId="12739" xr:uid="{8629A6FB-E6A3-4C96-B5B0-7A147537478F}"/>
    <cellStyle name="Currency 5 3 5 5 3" xfId="6312" xr:uid="{00000000-0005-0000-0000-0000320D0000}"/>
    <cellStyle name="Currency 5 3 5 5 3 2" xfId="14807" xr:uid="{B6A72434-D473-4CDD-AF4E-1F3EDB3B3DB4}"/>
    <cellStyle name="Currency 5 3 5 5 4" xfId="10594" xr:uid="{5919AE5D-EE71-4D13-B2CC-EF97FB78C424}"/>
    <cellStyle name="Currency 5 3 5 6" xfId="2441" xr:uid="{00000000-0005-0000-0000-0000330D0000}"/>
    <cellStyle name="Currency 5 3 5 6 2" xfId="6725" xr:uid="{00000000-0005-0000-0000-0000340D0000}"/>
    <cellStyle name="Currency 5 3 5 6 2 2" xfId="15220" xr:uid="{63D3E8C3-7A06-4EF2-AB44-7E00F829F4DE}"/>
    <cellStyle name="Currency 5 3 5 6 3" xfId="11007" xr:uid="{7206BBE1-73BD-4716-B0A0-C11DAF687103}"/>
    <cellStyle name="Currency 5 3 5 7" xfId="2738" xr:uid="{00000000-0005-0000-0000-0000350D0000}"/>
    <cellStyle name="Currency 5 3 5 8" xfId="2819" xr:uid="{00000000-0005-0000-0000-0000360D0000}"/>
    <cellStyle name="Currency 5 3 5 8 2" xfId="7042" xr:uid="{00000000-0005-0000-0000-0000370D0000}"/>
    <cellStyle name="Currency 5 3 5 8 2 2" xfId="15537" xr:uid="{49F4C0F8-2195-4BA1-912E-B4234AA0BB32}"/>
    <cellStyle name="Currency 5 3 5 8 3" xfId="11324" xr:uid="{557973D7-4F57-4BB2-9F51-9F83D50F4618}"/>
    <cellStyle name="Currency 5 3 5 9" xfId="4659" xr:uid="{00000000-0005-0000-0000-0000380D0000}"/>
    <cellStyle name="Currency 5 3 5 9 2" xfId="13155" xr:uid="{C150AA90-E2D6-45FF-AEEE-C2B0A50E3E37}"/>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56" xr:uid="{2B019E92-413B-4ED8-951F-A8ABEB1D2CA9}"/>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715" xr:uid="{9AA4FBAC-C930-4A20-9F5B-1C800A3E0D3A}"/>
    <cellStyle name="Currency 5 5 2 2 2 3" xfId="11502" xr:uid="{B3AC7217-2C08-492F-B5A9-28173B06D8D3}"/>
    <cellStyle name="Currency 5 5 2 2 3" xfId="5075" xr:uid="{00000000-0005-0000-0000-0000410D0000}"/>
    <cellStyle name="Currency 5 5 2 2 3 2" xfId="13570" xr:uid="{2C4399AC-DF1F-4671-89CD-5E58C6CF6D5C}"/>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128" xr:uid="{11B2AD1E-8E62-435B-A7EF-4899BDD568EF}"/>
    <cellStyle name="Currency 5 5 2 3 2 3" xfId="11915" xr:uid="{313678B6-39CE-4ED7-9D2D-A51AFE85A1C8}"/>
    <cellStyle name="Currency 5 5 2 3 3" xfId="5488" xr:uid="{00000000-0005-0000-0000-0000450D0000}"/>
    <cellStyle name="Currency 5 5 2 3 3 2" xfId="13983" xr:uid="{576D511B-25FE-449E-87C7-7BEFF74697DF}"/>
    <cellStyle name="Currency 5 5 2 3 4" xfId="9770" xr:uid="{F5BCE9F7-2A08-4DBB-A6AE-D9C17AA90421}"/>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541" xr:uid="{138FA9F5-7BF4-4798-A1C5-FCB4600051B2}"/>
    <cellStyle name="Currency 5 5 2 4 2 3" xfId="12328" xr:uid="{4E771C84-0F0B-44F4-B3E5-C973D5814D72}"/>
    <cellStyle name="Currency 5 5 2 4 3" xfId="5901" xr:uid="{00000000-0005-0000-0000-0000490D0000}"/>
    <cellStyle name="Currency 5 5 2 4 3 2" xfId="14396" xr:uid="{D84A39E8-C586-47C3-868D-BEB49B2ADA07}"/>
    <cellStyle name="Currency 5 5 2 4 4" xfId="10183" xr:uid="{27AA6C12-6053-42CE-BE20-8187BCEF3CFC}"/>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54" xr:uid="{252971FC-BC79-48BD-8D33-180D7D8CD05B}"/>
    <cellStyle name="Currency 5 5 2 5 2 3" xfId="12741" xr:uid="{97D4A49A-ABAE-4315-B7A2-5FE3B59C101B}"/>
    <cellStyle name="Currency 5 5 2 5 3" xfId="6314" xr:uid="{00000000-0005-0000-0000-00004D0D0000}"/>
    <cellStyle name="Currency 5 5 2 5 3 2" xfId="14809" xr:uid="{901F1F99-03EE-4D36-95FD-FC49C7956927}"/>
    <cellStyle name="Currency 5 5 2 5 4" xfId="10596" xr:uid="{9CD13F27-2011-4BC8-BB5A-DB9F9F924C69}"/>
    <cellStyle name="Currency 5 5 2 6" xfId="2443" xr:uid="{00000000-0005-0000-0000-00004E0D0000}"/>
    <cellStyle name="Currency 5 5 2 6 2" xfId="6727" xr:uid="{00000000-0005-0000-0000-00004F0D0000}"/>
    <cellStyle name="Currency 5 5 2 6 2 2" xfId="15222" xr:uid="{11CDFDA7-8A03-40B0-BC26-0C5581C512D7}"/>
    <cellStyle name="Currency 5 5 2 6 3" xfId="11009" xr:uid="{304437E9-2318-4F11-8C2C-418944D4968B}"/>
    <cellStyle name="Currency 5 5 2 7" xfId="2740" xr:uid="{00000000-0005-0000-0000-0000500D0000}"/>
    <cellStyle name="Currency 5 5 2 8" xfId="2821" xr:uid="{00000000-0005-0000-0000-0000510D0000}"/>
    <cellStyle name="Currency 5 5 2 8 2" xfId="7044" xr:uid="{00000000-0005-0000-0000-0000520D0000}"/>
    <cellStyle name="Currency 5 5 2 8 2 2" xfId="15539" xr:uid="{BEFADA72-0F93-493B-B7EE-D6D91836B8C9}"/>
    <cellStyle name="Currency 5 5 2 8 3" xfId="11326" xr:uid="{AE9E77D2-69BD-4802-9E99-6AA0E38CF5DF}"/>
    <cellStyle name="Currency 5 5 2 9" xfId="4661" xr:uid="{00000000-0005-0000-0000-0000530D0000}"/>
    <cellStyle name="Currency 5 5 2 9 2" xfId="13157" xr:uid="{90FF18ED-0A8C-4CA7-AC09-8B1DE7E7F564}"/>
    <cellStyle name="Currency 5 5 3" xfId="745" xr:uid="{00000000-0005-0000-0000-0000540D0000}"/>
    <cellStyle name="Currency 5 5 3 2" xfId="2997" xr:uid="{00000000-0005-0000-0000-0000550D0000}"/>
    <cellStyle name="Currency 5 5 3 2 2" xfId="7219" xr:uid="{00000000-0005-0000-0000-0000560D0000}"/>
    <cellStyle name="Currency 5 5 3 2 2 2" xfId="15714" xr:uid="{CCBEF109-8D1B-48F8-B5A2-2C02EAD03C34}"/>
    <cellStyle name="Currency 5 5 3 2 3" xfId="11501" xr:uid="{B27DDDE1-07AC-479A-8A5F-18DB2B47B8F1}"/>
    <cellStyle name="Currency 5 5 3 3" xfId="5074" xr:uid="{00000000-0005-0000-0000-0000570D0000}"/>
    <cellStyle name="Currency 5 5 3 3 2" xfId="13569" xr:uid="{F24A6BDF-BA00-466F-902A-3B4E525EAC87}"/>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2 2 2" xfId="16127" xr:uid="{DA0D0F23-4838-41D4-908F-72D9DD14C5A4}"/>
    <cellStyle name="Currency 5 5 4 2 3" xfId="11914" xr:uid="{2B80A1CE-589E-4958-A8EC-A52E78E72B1B}"/>
    <cellStyle name="Currency 5 5 4 3" xfId="5487" xr:uid="{00000000-0005-0000-0000-00005B0D0000}"/>
    <cellStyle name="Currency 5 5 4 3 2" xfId="13982" xr:uid="{573254E2-8976-47F7-B78E-C508E48CA841}"/>
    <cellStyle name="Currency 5 5 4 4" xfId="9769" xr:uid="{BDA2BE6C-5D9A-42DF-B7B0-93FD766A7037}"/>
    <cellStyle name="Currency 5 5 5" xfId="1593" xr:uid="{00000000-0005-0000-0000-00005C0D0000}"/>
    <cellStyle name="Currency 5 5 5 2" xfId="3823" xr:uid="{00000000-0005-0000-0000-00005D0D0000}"/>
    <cellStyle name="Currency 5 5 5 2 2" xfId="8045" xr:uid="{00000000-0005-0000-0000-00005E0D0000}"/>
    <cellStyle name="Currency 5 5 5 2 2 2" xfId="16540" xr:uid="{A3BAD6DD-3AF7-40B6-8CA5-3A1EE85E8EEA}"/>
    <cellStyle name="Currency 5 5 5 2 3" xfId="12327" xr:uid="{0615C967-1AAE-4D89-9589-55F286AA28C3}"/>
    <cellStyle name="Currency 5 5 5 3" xfId="5900" xr:uid="{00000000-0005-0000-0000-00005F0D0000}"/>
    <cellStyle name="Currency 5 5 5 3 2" xfId="14395" xr:uid="{553715D1-49F7-43BE-944D-0DDC03F0B0C1}"/>
    <cellStyle name="Currency 5 5 5 4" xfId="10182" xr:uid="{99E2D863-14CD-4B56-B22B-10E713EC888A}"/>
    <cellStyle name="Currency 5 5 6" xfId="2007" xr:uid="{00000000-0005-0000-0000-0000600D0000}"/>
    <cellStyle name="Currency 5 5 6 2" xfId="4236" xr:uid="{00000000-0005-0000-0000-0000610D0000}"/>
    <cellStyle name="Currency 5 5 6 2 2" xfId="8458" xr:uid="{00000000-0005-0000-0000-0000620D0000}"/>
    <cellStyle name="Currency 5 5 6 2 2 2" xfId="16953" xr:uid="{1D788852-7F93-4836-B526-9A1AF2060511}"/>
    <cellStyle name="Currency 5 5 6 2 3" xfId="12740" xr:uid="{050CC046-5EB3-43BF-A82B-44B9AB6D5BB9}"/>
    <cellStyle name="Currency 5 5 6 3" xfId="6313" xr:uid="{00000000-0005-0000-0000-0000630D0000}"/>
    <cellStyle name="Currency 5 5 6 3 2" xfId="14808" xr:uid="{38F28EFD-ACC6-4194-ABAE-C8E281702BD5}"/>
    <cellStyle name="Currency 5 5 6 4" xfId="10595" xr:uid="{508F6CAC-6568-478D-8DCE-0BC4A4C89A52}"/>
    <cellStyle name="Currency 5 5 7" xfId="2442" xr:uid="{00000000-0005-0000-0000-0000640D0000}"/>
    <cellStyle name="Currency 5 5 7 2" xfId="6726" xr:uid="{00000000-0005-0000-0000-0000650D0000}"/>
    <cellStyle name="Currency 5 5 7 2 2" xfId="15221" xr:uid="{8952F1D9-5B71-464A-8206-C188ADE09F00}"/>
    <cellStyle name="Currency 5 5 7 3" xfId="11008" xr:uid="{71AD7508-98D8-458C-822E-03E9C541208B}"/>
    <cellStyle name="Currency 5 5 8" xfId="2739" xr:uid="{00000000-0005-0000-0000-0000660D0000}"/>
    <cellStyle name="Currency 5 5 9" xfId="2820" xr:uid="{00000000-0005-0000-0000-0000670D0000}"/>
    <cellStyle name="Currency 5 5 9 2" xfId="7043" xr:uid="{00000000-0005-0000-0000-0000680D0000}"/>
    <cellStyle name="Currency 5 5 9 2 2" xfId="15538" xr:uid="{1978C05E-F421-4D13-8486-28CE75B9762D}"/>
    <cellStyle name="Currency 5 5 9 3" xfId="11325" xr:uid="{A8228514-05A9-42F1-977D-63B305062F4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2 2 2" xfId="15716" xr:uid="{FC009F80-27E8-4072-9033-331FA9EF0633}"/>
    <cellStyle name="Currency 5 6 2 2 3" xfId="11503" xr:uid="{47FC8C2C-6D1F-4C6F-BBED-A19EE2D5EA75}"/>
    <cellStyle name="Currency 5 6 2 3" xfId="5076" xr:uid="{00000000-0005-0000-0000-00006D0D0000}"/>
    <cellStyle name="Currency 5 6 2 3 2" xfId="13571" xr:uid="{EF0C0B75-790D-49D2-AFD4-1AD0C49B888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2 2 2" xfId="16129" xr:uid="{39E9FEC7-F5C4-4172-BC41-9056040E3B99}"/>
    <cellStyle name="Currency 5 6 3 2 3" xfId="11916" xr:uid="{D829EB3A-C988-4AF5-B556-8EC5CDB0CE21}"/>
    <cellStyle name="Currency 5 6 3 3" xfId="5489" xr:uid="{00000000-0005-0000-0000-0000710D0000}"/>
    <cellStyle name="Currency 5 6 3 3 2" xfId="13984" xr:uid="{F480E270-3E89-488F-9110-1AD4DCF461F7}"/>
    <cellStyle name="Currency 5 6 3 4" xfId="9771" xr:uid="{706651C0-DC96-4AD4-86CC-8C7C48133E5A}"/>
    <cellStyle name="Currency 5 6 4" xfId="1595" xr:uid="{00000000-0005-0000-0000-0000720D0000}"/>
    <cellStyle name="Currency 5 6 4 2" xfId="3825" xr:uid="{00000000-0005-0000-0000-0000730D0000}"/>
    <cellStyle name="Currency 5 6 4 2 2" xfId="8047" xr:uid="{00000000-0005-0000-0000-0000740D0000}"/>
    <cellStyle name="Currency 5 6 4 2 2 2" xfId="16542" xr:uid="{478582C5-ADA5-404A-93B2-8FC8F5E637EA}"/>
    <cellStyle name="Currency 5 6 4 2 3" xfId="12329" xr:uid="{543003E1-A301-4F21-B8B3-FC99BCCC8837}"/>
    <cellStyle name="Currency 5 6 4 3" xfId="5902" xr:uid="{00000000-0005-0000-0000-0000750D0000}"/>
    <cellStyle name="Currency 5 6 4 3 2" xfId="14397" xr:uid="{381A463F-1085-45C6-A2B8-CB551C3F341E}"/>
    <cellStyle name="Currency 5 6 4 4" xfId="10184" xr:uid="{E0B62B6F-1A58-4057-8370-7F8302654DF4}"/>
    <cellStyle name="Currency 5 6 5" xfId="2009" xr:uid="{00000000-0005-0000-0000-0000760D0000}"/>
    <cellStyle name="Currency 5 6 5 2" xfId="4238" xr:uid="{00000000-0005-0000-0000-0000770D0000}"/>
    <cellStyle name="Currency 5 6 5 2 2" xfId="8460" xr:uid="{00000000-0005-0000-0000-0000780D0000}"/>
    <cellStyle name="Currency 5 6 5 2 2 2" xfId="16955" xr:uid="{84721B66-432F-4954-BA09-2364F32AD8C1}"/>
    <cellStyle name="Currency 5 6 5 2 3" xfId="12742" xr:uid="{2AC0DEEE-7F5D-4C28-A115-49ECFC57DBB8}"/>
    <cellStyle name="Currency 5 6 5 3" xfId="6315" xr:uid="{00000000-0005-0000-0000-0000790D0000}"/>
    <cellStyle name="Currency 5 6 5 3 2" xfId="14810" xr:uid="{FF0D3ED8-4FC5-4284-964C-95D96C521EDC}"/>
    <cellStyle name="Currency 5 6 5 4" xfId="10597" xr:uid="{899A6926-5BA2-4D9A-B728-207527466702}"/>
    <cellStyle name="Currency 5 6 6" xfId="2444" xr:uid="{00000000-0005-0000-0000-00007A0D0000}"/>
    <cellStyle name="Currency 5 6 6 2" xfId="6728" xr:uid="{00000000-0005-0000-0000-00007B0D0000}"/>
    <cellStyle name="Currency 5 6 6 2 2" xfId="15223" xr:uid="{02053F92-3FF9-4499-AB03-2C9BED6D433A}"/>
    <cellStyle name="Currency 5 6 6 3" xfId="11010" xr:uid="{C88EF67F-0D2F-43CC-9F56-5E97816E1DCC}"/>
    <cellStyle name="Currency 5 6 7" xfId="2741" xr:uid="{00000000-0005-0000-0000-00007C0D0000}"/>
    <cellStyle name="Currency 5 6 8" xfId="2822" xr:uid="{00000000-0005-0000-0000-00007D0D0000}"/>
    <cellStyle name="Currency 5 6 8 2" xfId="7045" xr:uid="{00000000-0005-0000-0000-00007E0D0000}"/>
    <cellStyle name="Currency 5 6 8 2 2" xfId="15540" xr:uid="{0785345B-1C1C-4DE6-AEF8-2F729B0A4F1B}"/>
    <cellStyle name="Currency 5 6 8 3" xfId="11327" xr:uid="{AC2C9E3B-8009-4A92-B25E-EC8329D76D09}"/>
    <cellStyle name="Currency 5 6 9" xfId="4662" xr:uid="{00000000-0005-0000-0000-00007F0D0000}"/>
    <cellStyle name="Currency 5 6 9 2" xfId="13158" xr:uid="{2EEFC74E-008A-4BF9-944A-4486DEBB00C6}"/>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2 2 2" xfId="15717" xr:uid="{E27D6D0D-C66B-4ADB-8A89-CABAD15B6FD2}"/>
    <cellStyle name="Currency 5 7 2 2 3" xfId="11504" xr:uid="{7E309E28-00B8-4627-BEA4-EAAB6B37236F}"/>
    <cellStyle name="Currency 5 7 2 3" xfId="5077" xr:uid="{00000000-0005-0000-0000-0000840D0000}"/>
    <cellStyle name="Currency 5 7 2 3 2" xfId="13572" xr:uid="{778F97C2-6741-4663-8128-3B8484CEE3C8}"/>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2 2 2" xfId="16130" xr:uid="{42E18D9F-48F7-47B5-86AC-C07D9C40B984}"/>
    <cellStyle name="Currency 5 7 3 2 3" xfId="11917" xr:uid="{B92161C1-AD46-40E7-9836-BF436D630208}"/>
    <cellStyle name="Currency 5 7 3 3" xfId="5490" xr:uid="{00000000-0005-0000-0000-0000880D0000}"/>
    <cellStyle name="Currency 5 7 3 3 2" xfId="13985" xr:uid="{4A1E0024-D99F-476A-A36D-68FB941C4AEB}"/>
    <cellStyle name="Currency 5 7 3 4" xfId="9772" xr:uid="{F9B86517-FA1B-4786-8856-4D0BFFDEA96D}"/>
    <cellStyle name="Currency 5 7 4" xfId="1596" xr:uid="{00000000-0005-0000-0000-0000890D0000}"/>
    <cellStyle name="Currency 5 7 4 2" xfId="3826" xr:uid="{00000000-0005-0000-0000-00008A0D0000}"/>
    <cellStyle name="Currency 5 7 4 2 2" xfId="8048" xr:uid="{00000000-0005-0000-0000-00008B0D0000}"/>
    <cellStyle name="Currency 5 7 4 2 2 2" xfId="16543" xr:uid="{C8F278FB-9AE1-4D70-A1F7-BBC4E0AC72E2}"/>
    <cellStyle name="Currency 5 7 4 2 3" xfId="12330" xr:uid="{7DFCBF79-2CD5-4123-AB95-A273AC4BD185}"/>
    <cellStyle name="Currency 5 7 4 3" xfId="5903" xr:uid="{00000000-0005-0000-0000-00008C0D0000}"/>
    <cellStyle name="Currency 5 7 4 3 2" xfId="14398" xr:uid="{DA5CDE1F-CC4B-4662-8FDF-8ADEB991B690}"/>
    <cellStyle name="Currency 5 7 4 4" xfId="10185" xr:uid="{AB39BFC2-1A67-4843-B5E0-42BE8DD73A2D}"/>
    <cellStyle name="Currency 5 7 5" xfId="2010" xr:uid="{00000000-0005-0000-0000-00008D0D0000}"/>
    <cellStyle name="Currency 5 7 5 2" xfId="4239" xr:uid="{00000000-0005-0000-0000-00008E0D0000}"/>
    <cellStyle name="Currency 5 7 5 2 2" xfId="8461" xr:uid="{00000000-0005-0000-0000-00008F0D0000}"/>
    <cellStyle name="Currency 5 7 5 2 2 2" xfId="16956" xr:uid="{5B76E33A-1B85-4052-ACD1-62DB99E8C703}"/>
    <cellStyle name="Currency 5 7 5 2 3" xfId="12743" xr:uid="{5BDDCD9B-D3EB-4654-90DE-97AC30E67258}"/>
    <cellStyle name="Currency 5 7 5 3" xfId="6316" xr:uid="{00000000-0005-0000-0000-0000900D0000}"/>
    <cellStyle name="Currency 5 7 5 3 2" xfId="14811" xr:uid="{0392387B-598B-456C-8C35-AE193093B44A}"/>
    <cellStyle name="Currency 5 7 5 4" xfId="10598" xr:uid="{86FC5957-950D-45FE-9EE2-7F7083387F5F}"/>
    <cellStyle name="Currency 5 7 6" xfId="2445" xr:uid="{00000000-0005-0000-0000-0000910D0000}"/>
    <cellStyle name="Currency 5 7 6 2" xfId="6729" xr:uid="{00000000-0005-0000-0000-0000920D0000}"/>
    <cellStyle name="Currency 5 7 6 2 2" xfId="15224" xr:uid="{8783495A-9B3F-4B98-AAB6-73BC43B8248F}"/>
    <cellStyle name="Currency 5 7 6 3" xfId="11011" xr:uid="{19118B03-1871-4C9C-92F1-BD0EE5E082AD}"/>
    <cellStyle name="Currency 5 7 7" xfId="2742" xr:uid="{00000000-0005-0000-0000-0000930D0000}"/>
    <cellStyle name="Currency 5 7 8" xfId="2823" xr:uid="{00000000-0005-0000-0000-0000940D0000}"/>
    <cellStyle name="Currency 5 7 8 2" xfId="7046" xr:uid="{00000000-0005-0000-0000-0000950D0000}"/>
    <cellStyle name="Currency 5 7 8 2 2" xfId="15541" xr:uid="{D1A4ED59-202B-4179-8909-3F81BBA914AC}"/>
    <cellStyle name="Currency 5 7 8 3" xfId="11328" xr:uid="{F6C7B63C-91DA-4074-B007-906E5BC6BC8C}"/>
    <cellStyle name="Currency 5 7 9" xfId="4663" xr:uid="{00000000-0005-0000-0000-0000960D0000}"/>
    <cellStyle name="Currency 5 7 9 2" xfId="13159" xr:uid="{64F482BA-B326-4581-B058-0BD272775563}"/>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225" xr:uid="{C3AF8D19-174F-45BD-9D16-60DF60A99865}"/>
    <cellStyle name="Normal 12 10 3" xfId="11012" xr:uid="{0A3EDB45-B7FA-4C94-B834-E988E25265B9}"/>
    <cellStyle name="Normal 12 11" xfId="4664" xr:uid="{00000000-0005-0000-0000-0000CC0D0000}"/>
    <cellStyle name="Normal 12 11 2" xfId="13160" xr:uid="{2C5E6290-12E0-4EB6-B79F-EE4CFF8E051B}"/>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721" xr:uid="{EE5B1985-62CF-4E07-980B-B909467FFA67}"/>
    <cellStyle name="Normal 12 2 2 2 2 2 3" xfId="11508" xr:uid="{F5BA8D7F-EC0C-4A6F-8A57-381A08AE21B5}"/>
    <cellStyle name="Normal 12 2 2 2 2 3" xfId="5081" xr:uid="{00000000-0005-0000-0000-0000D30D0000}"/>
    <cellStyle name="Normal 12 2 2 2 2 3 2" xfId="13576" xr:uid="{793C04FC-1C88-4EE0-9676-BC64A7263132}"/>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134" xr:uid="{1EC9203C-B03B-43D4-9FD1-DCF730EE2B0E}"/>
    <cellStyle name="Normal 12 2 2 2 3 2 3" xfId="11921" xr:uid="{723BEDD3-D72C-4CE6-AD64-A767D2093191}"/>
    <cellStyle name="Normal 12 2 2 2 3 3" xfId="5494" xr:uid="{00000000-0005-0000-0000-0000D70D0000}"/>
    <cellStyle name="Normal 12 2 2 2 3 3 2" xfId="13989" xr:uid="{B0B1408B-C5FA-472F-8BFE-E830A90D5312}"/>
    <cellStyle name="Normal 12 2 2 2 3 4" xfId="9776" xr:uid="{BEE97A53-B35A-4859-B008-A6912AFFFDD6}"/>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47" xr:uid="{94FD1D04-0CD1-4AC0-98A2-9ACEC6BFA379}"/>
    <cellStyle name="Normal 12 2 2 2 4 2 3" xfId="12334" xr:uid="{36154A6D-6AD9-4FEB-8575-5C4F3299196C}"/>
    <cellStyle name="Normal 12 2 2 2 4 3" xfId="5907" xr:uid="{00000000-0005-0000-0000-0000DB0D0000}"/>
    <cellStyle name="Normal 12 2 2 2 4 3 2" xfId="14402" xr:uid="{E8CC6F35-D2F0-4A3D-9872-EF5CDFC769B0}"/>
    <cellStyle name="Normal 12 2 2 2 4 4" xfId="10189" xr:uid="{C663E7A9-E661-4500-AC4D-7CE62D240691}"/>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60" xr:uid="{D08C5427-8E39-49F3-ADC0-054B948AC0C2}"/>
    <cellStyle name="Normal 12 2 2 2 5 2 3" xfId="12747" xr:uid="{AC2F4501-22BE-4BFB-A89B-D52A43D50A6A}"/>
    <cellStyle name="Normal 12 2 2 2 5 3" xfId="6320" xr:uid="{00000000-0005-0000-0000-0000DF0D0000}"/>
    <cellStyle name="Normal 12 2 2 2 5 3 2" xfId="14815" xr:uid="{8E4151C9-939C-4289-BC4F-2761658368A5}"/>
    <cellStyle name="Normal 12 2 2 2 5 4" xfId="10602" xr:uid="{40F89705-943C-4B94-AB57-C4C58E26902F}"/>
    <cellStyle name="Normal 12 2 2 2 6" xfId="2450" xr:uid="{00000000-0005-0000-0000-0000E00D0000}"/>
    <cellStyle name="Normal 12 2 2 2 6 2" xfId="6733" xr:uid="{00000000-0005-0000-0000-0000E10D0000}"/>
    <cellStyle name="Normal 12 2 2 2 6 2 2" xfId="15228" xr:uid="{AD37607B-56F7-4885-9E25-0FC9AEFD5B19}"/>
    <cellStyle name="Normal 12 2 2 2 6 3" xfId="11015" xr:uid="{8DF72789-AEC1-437B-85F3-D5CF6F93C8F4}"/>
    <cellStyle name="Normal 12 2 2 2 7" xfId="4667" xr:uid="{00000000-0005-0000-0000-0000E20D0000}"/>
    <cellStyle name="Normal 12 2 2 2 7 2" xfId="13163" xr:uid="{77D268BE-C983-4CB7-9D35-9AEF9BE94F4C}"/>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2 2 2" xfId="15720" xr:uid="{8D70D819-D598-4784-B3BE-98D92F24FD4A}"/>
    <cellStyle name="Normal 12 2 2 3 2 3" xfId="11507" xr:uid="{339B07A5-9FDC-432B-8DAD-1EC27100204B}"/>
    <cellStyle name="Normal 12 2 2 3 3" xfId="5080" xr:uid="{00000000-0005-0000-0000-0000E60D0000}"/>
    <cellStyle name="Normal 12 2 2 3 3 2" xfId="13575" xr:uid="{F63A265D-3CA1-4782-BFEB-52621F56520B}"/>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133" xr:uid="{71936381-3052-4994-BA95-FA12198092B1}"/>
    <cellStyle name="Normal 12 2 2 4 2 3" xfId="11920" xr:uid="{64F0A6F2-EF1E-4238-8FCD-BB6AA8A6349D}"/>
    <cellStyle name="Normal 12 2 2 4 3" xfId="5493" xr:uid="{00000000-0005-0000-0000-0000EA0D0000}"/>
    <cellStyle name="Normal 12 2 2 4 3 2" xfId="13988" xr:uid="{2777B87E-2001-4E72-9687-1930DBAC8F78}"/>
    <cellStyle name="Normal 12 2 2 4 4" xfId="9775" xr:uid="{EB13A27B-42B0-48A6-AAEA-7131F686EC7A}"/>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46" xr:uid="{6CF70761-90C9-454B-9A9C-0142142D3C60}"/>
    <cellStyle name="Normal 12 2 2 5 2 3" xfId="12333" xr:uid="{35C1170B-045D-4B83-A7CD-A63EE1EEA9EF}"/>
    <cellStyle name="Normal 12 2 2 5 3" xfId="5906" xr:uid="{00000000-0005-0000-0000-0000EE0D0000}"/>
    <cellStyle name="Normal 12 2 2 5 3 2" xfId="14401" xr:uid="{F13072EA-5830-4566-8831-89915B96BDFC}"/>
    <cellStyle name="Normal 12 2 2 5 4" xfId="10188" xr:uid="{CDAE5478-33FB-433B-8C15-556A7100771C}"/>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59" xr:uid="{96EEF60C-3CBA-4318-B852-FB37910AC199}"/>
    <cellStyle name="Normal 12 2 2 6 2 3" xfId="12746" xr:uid="{90C1B5EE-0D96-4EB5-8C45-33451F0A6750}"/>
    <cellStyle name="Normal 12 2 2 6 3" xfId="6319" xr:uid="{00000000-0005-0000-0000-0000F20D0000}"/>
    <cellStyle name="Normal 12 2 2 6 3 2" xfId="14814" xr:uid="{6B6EB13F-CEF0-4A0E-BDFA-0BF814A2FC02}"/>
    <cellStyle name="Normal 12 2 2 6 4" xfId="10601" xr:uid="{05F95522-F6B8-4F63-ADEE-70C7E00B440E}"/>
    <cellStyle name="Normal 12 2 2 7" xfId="2449" xr:uid="{00000000-0005-0000-0000-0000F30D0000}"/>
    <cellStyle name="Normal 12 2 2 7 2" xfId="6732" xr:uid="{00000000-0005-0000-0000-0000F40D0000}"/>
    <cellStyle name="Normal 12 2 2 7 2 2" xfId="15227" xr:uid="{7924772E-BADF-44BC-B53D-F0C1B416B646}"/>
    <cellStyle name="Normal 12 2 2 7 3" xfId="11014" xr:uid="{A9AE5175-7C25-47CD-9271-D3E39BA9587D}"/>
    <cellStyle name="Normal 12 2 2 8" xfId="4666" xr:uid="{00000000-0005-0000-0000-0000F50D0000}"/>
    <cellStyle name="Normal 12 2 2 8 2" xfId="13162" xr:uid="{D0C3DFE6-C89E-4DAE-99F4-1652D385673B}"/>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722" xr:uid="{78121397-62FF-42D8-A956-8CE1430BE28E}"/>
    <cellStyle name="Normal 12 2 3 2 2 3" xfId="11509" xr:uid="{0EAEB8C0-61EC-414A-B4FB-DB8F7BE8EFBC}"/>
    <cellStyle name="Normal 12 2 3 2 3" xfId="5082" xr:uid="{00000000-0005-0000-0000-0000FA0D0000}"/>
    <cellStyle name="Normal 12 2 3 2 3 2" xfId="13577" xr:uid="{2CE147C2-5247-49C6-9496-4683D77C8096}"/>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135" xr:uid="{60C3D252-6D64-4863-B496-643F26851257}"/>
    <cellStyle name="Normal 12 2 3 3 2 3" xfId="11922" xr:uid="{598C450B-E959-49A7-B494-0EFD761B3C99}"/>
    <cellStyle name="Normal 12 2 3 3 3" xfId="5495" xr:uid="{00000000-0005-0000-0000-0000FE0D0000}"/>
    <cellStyle name="Normal 12 2 3 3 3 2" xfId="13990" xr:uid="{FBB673D0-7C53-4522-AE6E-55277AAD53DF}"/>
    <cellStyle name="Normal 12 2 3 3 4" xfId="9777" xr:uid="{5055B3E4-3BD7-429A-A02A-08EBAC8893AC}"/>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48" xr:uid="{BE9CE08D-B258-46C5-9170-E53BE23C1339}"/>
    <cellStyle name="Normal 12 2 3 4 2 3" xfId="12335" xr:uid="{1D740C62-4490-4AEC-B364-BBE2B71897D5}"/>
    <cellStyle name="Normal 12 2 3 4 3" xfId="5908" xr:uid="{00000000-0005-0000-0000-0000020E0000}"/>
    <cellStyle name="Normal 12 2 3 4 3 2" xfId="14403" xr:uid="{C99B4485-57B4-4843-A388-112F1EA20570}"/>
    <cellStyle name="Normal 12 2 3 4 4" xfId="10190" xr:uid="{05F32895-B464-4086-BD66-01D9F9630341}"/>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61" xr:uid="{D57D1DDD-CDAE-49E6-8DF3-AFD61A826834}"/>
    <cellStyle name="Normal 12 2 3 5 2 3" xfId="12748" xr:uid="{420C7F4C-6A10-44ED-9391-B156ACE15CE8}"/>
    <cellStyle name="Normal 12 2 3 5 3" xfId="6321" xr:uid="{00000000-0005-0000-0000-0000060E0000}"/>
    <cellStyle name="Normal 12 2 3 5 3 2" xfId="14816" xr:uid="{4C3AEAA0-34C9-465C-8A85-C321122A32B9}"/>
    <cellStyle name="Normal 12 2 3 5 4" xfId="10603" xr:uid="{7BA2FBD9-E281-41B9-8326-C99C1298B9B9}"/>
    <cellStyle name="Normal 12 2 3 6" xfId="2451" xr:uid="{00000000-0005-0000-0000-0000070E0000}"/>
    <cellStyle name="Normal 12 2 3 6 2" xfId="6734" xr:uid="{00000000-0005-0000-0000-0000080E0000}"/>
    <cellStyle name="Normal 12 2 3 6 2 2" xfId="15229" xr:uid="{B1B87F5C-255A-4512-95DE-946BF546CC36}"/>
    <cellStyle name="Normal 12 2 3 6 3" xfId="11016" xr:uid="{50FA1B52-345D-43EB-9D19-752955E48FCF}"/>
    <cellStyle name="Normal 12 2 3 7" xfId="4668" xr:uid="{00000000-0005-0000-0000-0000090E0000}"/>
    <cellStyle name="Normal 12 2 3 7 2" xfId="13164" xr:uid="{62750186-BA1C-443D-912E-CFD44CEA58CB}"/>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2 2 2" xfId="15719" xr:uid="{2D601890-F813-4FE4-8EEE-6D273BEC7AB0}"/>
    <cellStyle name="Normal 12 2 4 2 3" xfId="11506" xr:uid="{F8E37E84-C155-4DE2-91C1-7849795EE5F2}"/>
    <cellStyle name="Normal 12 2 4 3" xfId="5079" xr:uid="{00000000-0005-0000-0000-00000D0E0000}"/>
    <cellStyle name="Normal 12 2 4 3 2" xfId="13574" xr:uid="{8661428C-8CAD-4244-B94D-4C063B205D56}"/>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2 2 2" xfId="16132" xr:uid="{F8E5CEE1-967F-4DC6-9E41-C88636515B19}"/>
    <cellStyle name="Normal 12 2 5 2 3" xfId="11919" xr:uid="{AE5C1A38-00A9-4F31-9186-CA6EED777C83}"/>
    <cellStyle name="Normal 12 2 5 3" xfId="5492" xr:uid="{00000000-0005-0000-0000-0000110E0000}"/>
    <cellStyle name="Normal 12 2 5 3 2" xfId="13987" xr:uid="{448EAE36-F6F3-4C7E-BF0D-1D43E83C8A2E}"/>
    <cellStyle name="Normal 12 2 5 4" xfId="9774" xr:uid="{1FAE16A2-86CD-4D05-8437-5FEFB3AE43F7}"/>
    <cellStyle name="Normal 12 2 6" xfId="1598" xr:uid="{00000000-0005-0000-0000-0000120E0000}"/>
    <cellStyle name="Normal 12 2 6 2" xfId="3828" xr:uid="{00000000-0005-0000-0000-0000130E0000}"/>
    <cellStyle name="Normal 12 2 6 2 2" xfId="8050" xr:uid="{00000000-0005-0000-0000-0000140E0000}"/>
    <cellStyle name="Normal 12 2 6 2 2 2" xfId="16545" xr:uid="{7D8D958D-15A2-4F73-9E42-349B3C366B1E}"/>
    <cellStyle name="Normal 12 2 6 2 3" xfId="12332" xr:uid="{0D6D1D92-B943-4246-98B3-55CD25D8C9D9}"/>
    <cellStyle name="Normal 12 2 6 3" xfId="5905" xr:uid="{00000000-0005-0000-0000-0000150E0000}"/>
    <cellStyle name="Normal 12 2 6 3 2" xfId="14400" xr:uid="{CC25CED0-5C10-4B09-96CC-8E36CF27EA6A}"/>
    <cellStyle name="Normal 12 2 6 4" xfId="10187" xr:uid="{4A55E6C8-1E4C-44A9-8659-E1F7AD38ED8F}"/>
    <cellStyle name="Normal 12 2 7" xfId="2012" xr:uid="{00000000-0005-0000-0000-0000160E0000}"/>
    <cellStyle name="Normal 12 2 7 2" xfId="4241" xr:uid="{00000000-0005-0000-0000-0000170E0000}"/>
    <cellStyle name="Normal 12 2 7 2 2" xfId="8463" xr:uid="{00000000-0005-0000-0000-0000180E0000}"/>
    <cellStyle name="Normal 12 2 7 2 2 2" xfId="16958" xr:uid="{37659874-6884-4292-8D6F-D649080B0736}"/>
    <cellStyle name="Normal 12 2 7 2 3" xfId="12745" xr:uid="{26EB96F9-F56E-466B-8139-EA4CD5136EAB}"/>
    <cellStyle name="Normal 12 2 7 3" xfId="6318" xr:uid="{00000000-0005-0000-0000-0000190E0000}"/>
    <cellStyle name="Normal 12 2 7 3 2" xfId="14813" xr:uid="{BBCA1FBD-61CC-4FF1-96BB-01B0DDD04042}"/>
    <cellStyle name="Normal 12 2 7 4" xfId="10600" xr:uid="{C5FB671E-9B2E-4DC2-BEBD-26FD9F61467C}"/>
    <cellStyle name="Normal 12 2 8" xfId="2448" xr:uid="{00000000-0005-0000-0000-00001A0E0000}"/>
    <cellStyle name="Normal 12 2 8 2" xfId="6731" xr:uid="{00000000-0005-0000-0000-00001B0E0000}"/>
    <cellStyle name="Normal 12 2 8 2 2" xfId="15226" xr:uid="{5A5870AF-B8F6-4630-AA1B-603E39621C9F}"/>
    <cellStyle name="Normal 12 2 8 3" xfId="11013" xr:uid="{633E49A0-BF7A-4CAB-A1E6-6B350BBD9DD4}"/>
    <cellStyle name="Normal 12 2 9" xfId="4665" xr:uid="{00000000-0005-0000-0000-00001C0E0000}"/>
    <cellStyle name="Normal 12 2 9 2" xfId="13161" xr:uid="{26F76AB6-F835-4C1E-980D-DDCEFA460C71}"/>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724" xr:uid="{A85DD55B-BBA5-4AE3-9A35-6DD3EDA7C49F}"/>
    <cellStyle name="Normal 12 3 2 2 2 3" xfId="11511" xr:uid="{FE7886BB-3D47-42E9-8FA9-70718D0EF8D4}"/>
    <cellStyle name="Normal 12 3 2 2 3" xfId="5084" xr:uid="{00000000-0005-0000-0000-0000220E0000}"/>
    <cellStyle name="Normal 12 3 2 2 3 2" xfId="13579" xr:uid="{9099BFAE-E8C7-4A30-A441-B9A6E37F16FF}"/>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137" xr:uid="{7FB5E347-DAB8-4C1F-A275-8101FEAF4805}"/>
    <cellStyle name="Normal 12 3 2 3 2 3" xfId="11924" xr:uid="{04FE129B-44FD-4376-9D9F-F2765459CB07}"/>
    <cellStyle name="Normal 12 3 2 3 3" xfId="5497" xr:uid="{00000000-0005-0000-0000-0000260E0000}"/>
    <cellStyle name="Normal 12 3 2 3 3 2" xfId="13992" xr:uid="{329B32A7-50D2-47A0-B672-76F8A549A5AA}"/>
    <cellStyle name="Normal 12 3 2 3 4" xfId="9779" xr:uid="{BB1D7E10-9908-4472-83AD-055890074720}"/>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50" xr:uid="{6215BDF8-B41F-4595-A977-B57FBD7DE876}"/>
    <cellStyle name="Normal 12 3 2 4 2 3" xfId="12337" xr:uid="{2982748E-7928-4BF5-B1A6-D593EB704256}"/>
    <cellStyle name="Normal 12 3 2 4 3" xfId="5910" xr:uid="{00000000-0005-0000-0000-00002A0E0000}"/>
    <cellStyle name="Normal 12 3 2 4 3 2" xfId="14405" xr:uid="{8F3BEE12-50E3-4694-B3CF-3FAAF5DD51B2}"/>
    <cellStyle name="Normal 12 3 2 4 4" xfId="10192" xr:uid="{A6DF9A28-EC53-453F-B0BA-EB3D0070E2D8}"/>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63" xr:uid="{5E8BAEDE-8119-47ED-B53C-9E66DEA38E05}"/>
    <cellStyle name="Normal 12 3 2 5 2 3" xfId="12750" xr:uid="{90A3F87A-45E1-4117-9067-D37D34C4F14B}"/>
    <cellStyle name="Normal 12 3 2 5 3" xfId="6323" xr:uid="{00000000-0005-0000-0000-00002E0E0000}"/>
    <cellStyle name="Normal 12 3 2 5 3 2" xfId="14818" xr:uid="{135BCAD0-AABE-4151-8E33-AD9C113119AD}"/>
    <cellStyle name="Normal 12 3 2 5 4" xfId="10605" xr:uid="{B4737F40-F663-4078-A1C9-87BBB3CF22FC}"/>
    <cellStyle name="Normal 12 3 2 6" xfId="2453" xr:uid="{00000000-0005-0000-0000-00002F0E0000}"/>
    <cellStyle name="Normal 12 3 2 6 2" xfId="6736" xr:uid="{00000000-0005-0000-0000-0000300E0000}"/>
    <cellStyle name="Normal 12 3 2 6 2 2" xfId="15231" xr:uid="{21EC9EBE-279A-4164-B170-E0393AE9640A}"/>
    <cellStyle name="Normal 12 3 2 6 3" xfId="11018" xr:uid="{DD3DE655-8DDF-4636-98C7-C4AA0E090F8C}"/>
    <cellStyle name="Normal 12 3 2 7" xfId="4670" xr:uid="{00000000-0005-0000-0000-0000310E0000}"/>
    <cellStyle name="Normal 12 3 2 7 2" xfId="13166" xr:uid="{FF85730F-6EDD-43D3-91D6-EAB921C03224}"/>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2 2 2" xfId="15723" xr:uid="{165431DE-0F08-4C9B-8CA0-64D8CD8E2940}"/>
    <cellStyle name="Normal 12 3 3 2 3" xfId="11510" xr:uid="{A9B44269-4742-441E-B806-4F152C39BD04}"/>
    <cellStyle name="Normal 12 3 3 3" xfId="5083" xr:uid="{00000000-0005-0000-0000-0000350E0000}"/>
    <cellStyle name="Normal 12 3 3 3 2" xfId="13578" xr:uid="{70EC690F-01A6-4252-A421-09D53382C293}"/>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2 2 2" xfId="16136" xr:uid="{A31AD9C0-4288-4379-AA02-264D782D4581}"/>
    <cellStyle name="Normal 12 3 4 2 3" xfId="11923" xr:uid="{2E9E926C-450E-4982-9398-BE1DA66F9180}"/>
    <cellStyle name="Normal 12 3 4 3" xfId="5496" xr:uid="{00000000-0005-0000-0000-0000390E0000}"/>
    <cellStyle name="Normal 12 3 4 3 2" xfId="13991" xr:uid="{565DBBAA-4B38-44F2-908E-B1D502FD8790}"/>
    <cellStyle name="Normal 12 3 4 4" xfId="9778" xr:uid="{16A4F1FE-E0AD-4130-A6EC-08032E356C8D}"/>
    <cellStyle name="Normal 12 3 5" xfId="1602" xr:uid="{00000000-0005-0000-0000-00003A0E0000}"/>
    <cellStyle name="Normal 12 3 5 2" xfId="3832" xr:uid="{00000000-0005-0000-0000-00003B0E0000}"/>
    <cellStyle name="Normal 12 3 5 2 2" xfId="8054" xr:uid="{00000000-0005-0000-0000-00003C0E0000}"/>
    <cellStyle name="Normal 12 3 5 2 2 2" xfId="16549" xr:uid="{8CBE50E9-016D-4DFD-92FC-977094DF74EB}"/>
    <cellStyle name="Normal 12 3 5 2 3" xfId="12336" xr:uid="{AAFFCBE3-ACA7-4B48-8D42-B6D889210418}"/>
    <cellStyle name="Normal 12 3 5 3" xfId="5909" xr:uid="{00000000-0005-0000-0000-00003D0E0000}"/>
    <cellStyle name="Normal 12 3 5 3 2" xfId="14404" xr:uid="{D6DD99E7-A2B9-43B2-B00A-A8673A911273}"/>
    <cellStyle name="Normal 12 3 5 4" xfId="10191" xr:uid="{B2B75817-43E5-4A26-B2E5-5DCF0E19E0E9}"/>
    <cellStyle name="Normal 12 3 6" xfId="2016" xr:uid="{00000000-0005-0000-0000-00003E0E0000}"/>
    <cellStyle name="Normal 12 3 6 2" xfId="4245" xr:uid="{00000000-0005-0000-0000-00003F0E0000}"/>
    <cellStyle name="Normal 12 3 6 2 2" xfId="8467" xr:uid="{00000000-0005-0000-0000-0000400E0000}"/>
    <cellStyle name="Normal 12 3 6 2 2 2" xfId="16962" xr:uid="{A595E79A-1D19-4282-851F-F6B1C27987BD}"/>
    <cellStyle name="Normal 12 3 6 2 3" xfId="12749" xr:uid="{3990724C-84FF-4A3E-8059-67B7223F38AC}"/>
    <cellStyle name="Normal 12 3 6 3" xfId="6322" xr:uid="{00000000-0005-0000-0000-0000410E0000}"/>
    <cellStyle name="Normal 12 3 6 3 2" xfId="14817" xr:uid="{CA3D3B1B-8A25-4D11-8D37-DFAF8189EC0C}"/>
    <cellStyle name="Normal 12 3 6 4" xfId="10604" xr:uid="{DD63652F-C9F1-41FE-BFCF-A82EB771AD55}"/>
    <cellStyle name="Normal 12 3 7" xfId="2452" xr:uid="{00000000-0005-0000-0000-0000420E0000}"/>
    <cellStyle name="Normal 12 3 7 2" xfId="6735" xr:uid="{00000000-0005-0000-0000-0000430E0000}"/>
    <cellStyle name="Normal 12 3 7 2 2" xfId="15230" xr:uid="{0CC81280-29D9-495A-B740-D0CABA75B1D0}"/>
    <cellStyle name="Normal 12 3 7 3" xfId="11017" xr:uid="{31B1B6B8-A40B-49FF-A829-9288CD5FEFD0}"/>
    <cellStyle name="Normal 12 3 8" xfId="4669" xr:uid="{00000000-0005-0000-0000-0000440E0000}"/>
    <cellStyle name="Normal 12 3 8 2" xfId="13165" xr:uid="{24F40E3A-7EE2-43F5-830A-E1420EFB1078}"/>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725" xr:uid="{22DEE848-0156-4783-AAB1-530C5A8F4C2F}"/>
    <cellStyle name="Normal 12 4 2 2 3" xfId="11512" xr:uid="{EA92BEB8-FCA2-4CDA-926B-DF94EBE13704}"/>
    <cellStyle name="Normal 12 4 2 3" xfId="5085" xr:uid="{00000000-0005-0000-0000-0000490E0000}"/>
    <cellStyle name="Normal 12 4 2 3 2" xfId="13580" xr:uid="{77631921-DBD5-4830-9B7A-CF8216394F5A}"/>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2 2 2" xfId="16138" xr:uid="{15A5B643-DEC0-4F91-80D1-9108F76CD949}"/>
    <cellStyle name="Normal 12 4 3 2 3" xfId="11925" xr:uid="{61B4E7AA-6FE4-46FD-9E29-9B10E708D2C5}"/>
    <cellStyle name="Normal 12 4 3 3" xfId="5498" xr:uid="{00000000-0005-0000-0000-00004D0E0000}"/>
    <cellStyle name="Normal 12 4 3 3 2" xfId="13993" xr:uid="{75E3C4CE-49B2-407E-A95E-58D08E906767}"/>
    <cellStyle name="Normal 12 4 3 4" xfId="9780" xr:uid="{9162DD41-1E25-46FE-A600-D546FF5E0723}"/>
    <cellStyle name="Normal 12 4 4" xfId="1604" xr:uid="{00000000-0005-0000-0000-00004E0E0000}"/>
    <cellStyle name="Normal 12 4 4 2" xfId="3834" xr:uid="{00000000-0005-0000-0000-00004F0E0000}"/>
    <cellStyle name="Normal 12 4 4 2 2" xfId="8056" xr:uid="{00000000-0005-0000-0000-0000500E0000}"/>
    <cellStyle name="Normal 12 4 4 2 2 2" xfId="16551" xr:uid="{3658AAF4-FF8E-43AC-9F93-963B909E4DBD}"/>
    <cellStyle name="Normal 12 4 4 2 3" xfId="12338" xr:uid="{E2515CC7-3A3A-41B0-87A6-94257A377D05}"/>
    <cellStyle name="Normal 12 4 4 3" xfId="5911" xr:uid="{00000000-0005-0000-0000-0000510E0000}"/>
    <cellStyle name="Normal 12 4 4 3 2" xfId="14406" xr:uid="{55CFACF0-96BA-44B3-B5C6-A94C2A8E3ABE}"/>
    <cellStyle name="Normal 12 4 4 4" xfId="10193" xr:uid="{0CD6A746-C45A-485B-B258-BCD9CB658F56}"/>
    <cellStyle name="Normal 12 4 5" xfId="2018" xr:uid="{00000000-0005-0000-0000-0000520E0000}"/>
    <cellStyle name="Normal 12 4 5 2" xfId="4247" xr:uid="{00000000-0005-0000-0000-0000530E0000}"/>
    <cellStyle name="Normal 12 4 5 2 2" xfId="8469" xr:uid="{00000000-0005-0000-0000-0000540E0000}"/>
    <cellStyle name="Normal 12 4 5 2 2 2" xfId="16964" xr:uid="{E60BBD7A-CB7A-4422-A995-39DAF5392722}"/>
    <cellStyle name="Normal 12 4 5 2 3" xfId="12751" xr:uid="{BD49A757-DB73-4A41-88CC-4B31493D322A}"/>
    <cellStyle name="Normal 12 4 5 3" xfId="6324" xr:uid="{00000000-0005-0000-0000-0000550E0000}"/>
    <cellStyle name="Normal 12 4 5 3 2" xfId="14819" xr:uid="{8D8F743A-D146-4936-85DC-4DF01ADC9978}"/>
    <cellStyle name="Normal 12 4 5 4" xfId="10606" xr:uid="{D8BAC943-DB39-4E51-B782-01EDC2CF3F69}"/>
    <cellStyle name="Normal 12 4 6" xfId="2454" xr:uid="{00000000-0005-0000-0000-0000560E0000}"/>
    <cellStyle name="Normal 12 4 6 2" xfId="6737" xr:uid="{00000000-0005-0000-0000-0000570E0000}"/>
    <cellStyle name="Normal 12 4 6 2 2" xfId="15232" xr:uid="{5975690A-F209-4866-B72C-D6B33646CCDD}"/>
    <cellStyle name="Normal 12 4 6 3" xfId="11019" xr:uid="{F99FA209-5836-4F3E-A2F4-241C5934B818}"/>
    <cellStyle name="Normal 12 4 7" xfId="4671" xr:uid="{00000000-0005-0000-0000-0000580E0000}"/>
    <cellStyle name="Normal 12 4 7 2" xfId="13167" xr:uid="{92A47AA4-7AF3-4560-A21B-10EE5397AF3C}"/>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2 2 2" xfId="15718" xr:uid="{B5C70983-5C43-4387-955F-125A0ACAFACC}"/>
    <cellStyle name="Normal 12 6 2 3" xfId="11505" xr:uid="{3F8BBCC4-8AB8-4F31-8EEB-16CA0054568A}"/>
    <cellStyle name="Normal 12 6 3" xfId="5078" xr:uid="{00000000-0005-0000-0000-00005D0E0000}"/>
    <cellStyle name="Normal 12 6 3 2" xfId="13573" xr:uid="{FD5C5E66-E1EB-4BB9-83B7-9BA87BD0012C}"/>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2 2 2" xfId="16131" xr:uid="{96AA081F-0A9F-483C-9E85-A84236FF6B5C}"/>
    <cellStyle name="Normal 12 7 2 3" xfId="11918" xr:uid="{2D20E85F-8E8B-4E46-87BE-5921F42680A9}"/>
    <cellStyle name="Normal 12 7 3" xfId="5491" xr:uid="{00000000-0005-0000-0000-0000610E0000}"/>
    <cellStyle name="Normal 12 7 3 2" xfId="13986" xr:uid="{C307E023-EC61-4C2A-9679-6555C855F2CA}"/>
    <cellStyle name="Normal 12 7 4" xfId="9773" xr:uid="{8D7323E7-5E28-4611-9514-24D23C43B084}"/>
    <cellStyle name="Normal 12 8" xfId="1597" xr:uid="{00000000-0005-0000-0000-0000620E0000}"/>
    <cellStyle name="Normal 12 8 2" xfId="3827" xr:uid="{00000000-0005-0000-0000-0000630E0000}"/>
    <cellStyle name="Normal 12 8 2 2" xfId="8049" xr:uid="{00000000-0005-0000-0000-0000640E0000}"/>
    <cellStyle name="Normal 12 8 2 2 2" xfId="16544" xr:uid="{1B005250-38A3-4E45-8A8E-97D45628EE9E}"/>
    <cellStyle name="Normal 12 8 2 3" xfId="12331" xr:uid="{5A2C0BDD-986C-44F1-9A83-505C3A3A4BC0}"/>
    <cellStyle name="Normal 12 8 3" xfId="5904" xr:uid="{00000000-0005-0000-0000-0000650E0000}"/>
    <cellStyle name="Normal 12 8 3 2" xfId="14399" xr:uid="{0B02AC6B-E270-4C3E-BBBE-C3C5F3D12EF9}"/>
    <cellStyle name="Normal 12 8 4" xfId="10186" xr:uid="{CA2A0FFA-6528-4C4F-BEB4-6A8AD781D9ED}"/>
    <cellStyle name="Normal 12 9" xfId="2011" xr:uid="{00000000-0005-0000-0000-0000660E0000}"/>
    <cellStyle name="Normal 12 9 2" xfId="4240" xr:uid="{00000000-0005-0000-0000-0000670E0000}"/>
    <cellStyle name="Normal 12 9 2 2" xfId="8462" xr:uid="{00000000-0005-0000-0000-0000680E0000}"/>
    <cellStyle name="Normal 12 9 2 2 2" xfId="16957" xr:uid="{82B4F07F-ADCB-4B06-A717-1DD226030259}"/>
    <cellStyle name="Normal 12 9 2 3" xfId="12744" xr:uid="{37D03F36-60CF-4996-B696-E286FE8D8BFF}"/>
    <cellStyle name="Normal 12 9 3" xfId="6317" xr:uid="{00000000-0005-0000-0000-0000690E0000}"/>
    <cellStyle name="Normal 12 9 3 2" xfId="14812" xr:uid="{5FB3C6D7-4CF3-4589-8AA8-AA77258D259B}"/>
    <cellStyle name="Normal 12 9 4" xfId="10599" xr:uid="{45A8CEB5-C11F-4790-8DF2-B911BE84600A}"/>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726" xr:uid="{1CB8FE07-707B-40C9-902F-4EB76BEBD161}"/>
    <cellStyle name="Normal 14 2 2 3" xfId="11513" xr:uid="{F42896F0-50F2-4F97-8CCF-C880181D19A2}"/>
    <cellStyle name="Normal 14 2 3" xfId="5086" xr:uid="{00000000-0005-0000-0000-0000700E0000}"/>
    <cellStyle name="Normal 14 2 3 2" xfId="13581" xr:uid="{EF52791B-A5CC-431B-8CE6-D7F711824116}"/>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2 2 2" xfId="16139" xr:uid="{A2161768-5213-4A6F-B0D5-1EF4CE56177B}"/>
    <cellStyle name="Normal 14 3 2 3" xfId="11926" xr:uid="{FC28192E-DEFD-4EA4-91AE-00E4E7F50421}"/>
    <cellStyle name="Normal 14 3 3" xfId="5499" xr:uid="{00000000-0005-0000-0000-0000740E0000}"/>
    <cellStyle name="Normal 14 3 3 2" xfId="13994" xr:uid="{1DA6394E-614A-4A11-8E49-8CE29D1CF286}"/>
    <cellStyle name="Normal 14 3 4" xfId="9781" xr:uid="{AE3075C8-E456-4A2E-9E3D-07B9DE0E8D20}"/>
    <cellStyle name="Normal 14 4" xfId="1605" xr:uid="{00000000-0005-0000-0000-0000750E0000}"/>
    <cellStyle name="Normal 14 4 2" xfId="3835" xr:uid="{00000000-0005-0000-0000-0000760E0000}"/>
    <cellStyle name="Normal 14 4 2 2" xfId="8057" xr:uid="{00000000-0005-0000-0000-0000770E0000}"/>
    <cellStyle name="Normal 14 4 2 2 2" xfId="16552" xr:uid="{96662603-3DE4-4A07-AF8B-F33D54EBF883}"/>
    <cellStyle name="Normal 14 4 2 3" xfId="12339" xr:uid="{FA390F8A-5F02-41FE-B4EE-C8390F500554}"/>
    <cellStyle name="Normal 14 4 3" xfId="5912" xr:uid="{00000000-0005-0000-0000-0000780E0000}"/>
    <cellStyle name="Normal 14 4 3 2" xfId="14407" xr:uid="{AE552D2C-BC3A-4DB6-B13A-C9E348472FFF}"/>
    <cellStyle name="Normal 14 4 4" xfId="10194" xr:uid="{AC67CE3E-D187-4935-BC53-C6E9CA1B3438}"/>
    <cellStyle name="Normal 14 5" xfId="2019" xr:uid="{00000000-0005-0000-0000-0000790E0000}"/>
    <cellStyle name="Normal 14 5 2" xfId="4248" xr:uid="{00000000-0005-0000-0000-00007A0E0000}"/>
    <cellStyle name="Normal 14 5 2 2" xfId="8470" xr:uid="{00000000-0005-0000-0000-00007B0E0000}"/>
    <cellStyle name="Normal 14 5 2 2 2" xfId="16965" xr:uid="{3A50858A-76ED-42B3-8E6A-3EF26E9E94A3}"/>
    <cellStyle name="Normal 14 5 2 3" xfId="12752" xr:uid="{F1D27B8F-5355-4B65-A542-0ACDC252DDA1}"/>
    <cellStyle name="Normal 14 5 3" xfId="6325" xr:uid="{00000000-0005-0000-0000-00007C0E0000}"/>
    <cellStyle name="Normal 14 5 3 2" xfId="14820" xr:uid="{1B6A4C63-F7F5-4929-9724-27F0CE53C7E8}"/>
    <cellStyle name="Normal 14 5 4" xfId="10607" xr:uid="{B770A991-3255-41C9-A188-26EC33FEE5D6}"/>
    <cellStyle name="Normal 14 6" xfId="2455" xr:uid="{00000000-0005-0000-0000-00007D0E0000}"/>
    <cellStyle name="Normal 14 6 2" xfId="6738" xr:uid="{00000000-0005-0000-0000-00007E0E0000}"/>
    <cellStyle name="Normal 14 6 2 2" xfId="15233" xr:uid="{A518C158-3AFD-481F-B0DE-40AA53C96EC3}"/>
    <cellStyle name="Normal 14 6 3" xfId="11020" xr:uid="{AF7DB6D6-3979-4661-BE97-31395D2BAA5B}"/>
    <cellStyle name="Normal 14 7" xfId="4672" xr:uid="{00000000-0005-0000-0000-00007F0E0000}"/>
    <cellStyle name="Normal 14 7 2" xfId="13168" xr:uid="{1DDC943A-AF9E-4D94-99B4-3BB7A1FEB843}"/>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2 2" xfId="17210" xr:uid="{33A3BAF2-FF5F-41B6-B3D5-39B59387B0A9}"/>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3" xfId="17226" xr:uid="{AF9E9E30-41A0-47C5-B1FE-F3CB2B4898FF}"/>
    <cellStyle name="Normal 16 3 2 2 2 3" xfId="17223" xr:uid="{43FD9B72-70B0-4DAD-9C35-8138AE08EC23}"/>
    <cellStyle name="Normal 16 3 2 2 3" xfId="17219" xr:uid="{C6670340-672E-495D-8111-845576E6CC00}"/>
    <cellStyle name="Normal 16 3 2 3" xfId="17216" xr:uid="{8ED8091A-7100-4BC5-8C61-B664ECC27C36}"/>
    <cellStyle name="Normal 16 3 3" xfId="17213" xr:uid="{698D6BC7-EDED-4375-974F-B069A6E0D0A2}"/>
    <cellStyle name="Normal 16 4" xfId="9612" xr:uid="{8729F6E8-3534-4DAE-B0B2-B2AF3CDCD313}"/>
    <cellStyle name="Normal 16 5" xfId="12997" xr:uid="{72D9D8BA-AA22-4263-AD76-9C0BD2150FD3}"/>
    <cellStyle name="Normal 17" xfId="8728" xr:uid="{3FF0972C-833B-4475-99D8-1A6907499E71}"/>
    <cellStyle name="Normal 17 2" xfId="9157" xr:uid="{6C872296-5E17-4821-9139-E52AD113B06C}"/>
    <cellStyle name="Normal 17 3" xfId="9154" xr:uid="{DC3FF210-EC1F-47CE-8CCE-F8F5460671B1}"/>
    <cellStyle name="Normal 17 4" xfId="17222" xr:uid="{773C8508-4547-43A2-89ED-F1BBB11C4216}"/>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66" xr:uid="{DCA61AE8-AD96-4650-8847-B5CC348196D0}"/>
    <cellStyle name="Normal 2 4 2 10 2 3" xfId="12753" xr:uid="{FA59B9A5-18C0-4EB2-B7FD-10E39B500278}"/>
    <cellStyle name="Normal 2 4 2 10 3" xfId="6326" xr:uid="{00000000-0005-0000-0000-0000910E0000}"/>
    <cellStyle name="Normal 2 4 2 10 3 2" xfId="14821" xr:uid="{859D1C66-1324-41F6-9A0A-0E217D451E3E}"/>
    <cellStyle name="Normal 2 4 2 10 4" xfId="10608" xr:uid="{87FFA648-D994-4C10-8B02-BDC32A74B980}"/>
    <cellStyle name="Normal 2 4 2 11" xfId="2456" xr:uid="{00000000-0005-0000-0000-0000920E0000}"/>
    <cellStyle name="Normal 2 4 2 11 2" xfId="6739" xr:uid="{00000000-0005-0000-0000-0000930E0000}"/>
    <cellStyle name="Normal 2 4 2 11 2 2" xfId="15234" xr:uid="{7DE76EB5-68A0-4FFD-8A81-E5937CEF51C9}"/>
    <cellStyle name="Normal 2 4 2 11 3" xfId="11021" xr:uid="{E89331FE-BC14-4C3E-BAAE-08DD502492E4}"/>
    <cellStyle name="Normal 2 4 2 12" xfId="4673" xr:uid="{00000000-0005-0000-0000-0000940E0000}"/>
    <cellStyle name="Normal 2 4 2 12 2" xfId="13169" xr:uid="{FA36953D-244A-4E82-9966-D80A2616E54E}"/>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0 2" xfId="13170" xr:uid="{6BDCB093-D24B-457C-A97E-B0CFAB0D28B6}"/>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731" xr:uid="{63D8D585-A8F2-4B19-9CD6-C0C195190066}"/>
    <cellStyle name="Normal 2 4 2 3 2 2 2 2 2 3" xfId="11518" xr:uid="{0E61AC3F-5388-459A-8199-CC3BDB25C516}"/>
    <cellStyle name="Normal 2 4 2 3 2 2 2 2 3" xfId="5091" xr:uid="{00000000-0005-0000-0000-00009E0E0000}"/>
    <cellStyle name="Normal 2 4 2 3 2 2 2 2 3 2" xfId="13586" xr:uid="{546ADDAC-5C72-4A7C-A46F-44C7BF6EFEF4}"/>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144" xr:uid="{5ACBDA3B-6FFD-4B7D-87B9-5F7325160DBB}"/>
    <cellStyle name="Normal 2 4 2 3 2 2 2 3 2 3" xfId="11931" xr:uid="{1C4895C9-FEA1-436C-B132-C80F256C3C28}"/>
    <cellStyle name="Normal 2 4 2 3 2 2 2 3 3" xfId="5504" xr:uid="{00000000-0005-0000-0000-0000A20E0000}"/>
    <cellStyle name="Normal 2 4 2 3 2 2 2 3 3 2" xfId="13999" xr:uid="{F2E244B8-7F03-44DA-A9F9-36E69DD48216}"/>
    <cellStyle name="Normal 2 4 2 3 2 2 2 3 4" xfId="9786" xr:uid="{FC6BF811-A6BA-47A9-81D0-E0287DB3AB19}"/>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57" xr:uid="{D1C2713E-B2D0-4F32-96C3-638346357D34}"/>
    <cellStyle name="Normal 2 4 2 3 2 2 2 4 2 3" xfId="12344" xr:uid="{B635F492-0014-4F5B-8C47-93834E5D8BA0}"/>
    <cellStyle name="Normal 2 4 2 3 2 2 2 4 3" xfId="5917" xr:uid="{00000000-0005-0000-0000-0000A60E0000}"/>
    <cellStyle name="Normal 2 4 2 3 2 2 2 4 3 2" xfId="14412" xr:uid="{E36E711C-8FEA-49ED-A26A-75AFF7DC4770}"/>
    <cellStyle name="Normal 2 4 2 3 2 2 2 4 4" xfId="10199" xr:uid="{55829802-20CE-49A0-8A9F-A3C3F2AEB685}"/>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70" xr:uid="{EE758109-D200-4EE8-87B7-CB616E9C451C}"/>
    <cellStyle name="Normal 2 4 2 3 2 2 2 5 2 3" xfId="12757" xr:uid="{99167849-7F40-424F-A492-E5893CA45D96}"/>
    <cellStyle name="Normal 2 4 2 3 2 2 2 5 3" xfId="6330" xr:uid="{00000000-0005-0000-0000-0000AA0E0000}"/>
    <cellStyle name="Normal 2 4 2 3 2 2 2 5 3 2" xfId="14825" xr:uid="{3E14BE28-4B36-4B9C-A2FE-E689D4C04BC2}"/>
    <cellStyle name="Normal 2 4 2 3 2 2 2 5 4" xfId="10612" xr:uid="{EF9D99B7-0039-41F2-A2F1-959C2311A036}"/>
    <cellStyle name="Normal 2 4 2 3 2 2 2 6" xfId="2460" xr:uid="{00000000-0005-0000-0000-0000AB0E0000}"/>
    <cellStyle name="Normal 2 4 2 3 2 2 2 6 2" xfId="6743" xr:uid="{00000000-0005-0000-0000-0000AC0E0000}"/>
    <cellStyle name="Normal 2 4 2 3 2 2 2 6 2 2" xfId="15238" xr:uid="{9E86D090-3699-4D1E-8F3E-CF6EA8558C6C}"/>
    <cellStyle name="Normal 2 4 2 3 2 2 2 6 3" xfId="11025" xr:uid="{C7A26CCB-0506-4856-A96A-C4D1F8C3E6F6}"/>
    <cellStyle name="Normal 2 4 2 3 2 2 2 7" xfId="4677" xr:uid="{00000000-0005-0000-0000-0000AD0E0000}"/>
    <cellStyle name="Normal 2 4 2 3 2 2 2 7 2" xfId="13173" xr:uid="{F347A90B-50B2-4C35-83FE-081D145F0298}"/>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730" xr:uid="{454BEA3F-529C-4D6A-A742-B2AF9C9D2EE2}"/>
    <cellStyle name="Normal 2 4 2 3 2 2 3 2 3" xfId="11517" xr:uid="{FEEC106E-3C64-45F3-88E2-CD222DE34719}"/>
    <cellStyle name="Normal 2 4 2 3 2 2 3 3" xfId="5090" xr:uid="{00000000-0005-0000-0000-0000B10E0000}"/>
    <cellStyle name="Normal 2 4 2 3 2 2 3 3 2" xfId="13585" xr:uid="{7834FC47-83CB-48FC-8194-BE7129EF2753}"/>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143" xr:uid="{4886ED85-554F-4EC9-8D5A-20CA782C578D}"/>
    <cellStyle name="Normal 2 4 2 3 2 2 4 2 3" xfId="11930" xr:uid="{152C8CF4-79A6-447B-AD55-CBDB953174EC}"/>
    <cellStyle name="Normal 2 4 2 3 2 2 4 3" xfId="5503" xr:uid="{00000000-0005-0000-0000-0000B50E0000}"/>
    <cellStyle name="Normal 2 4 2 3 2 2 4 3 2" xfId="13998" xr:uid="{A276323E-102B-4376-B1E0-C0CDD63F9AEC}"/>
    <cellStyle name="Normal 2 4 2 3 2 2 4 4" xfId="9785" xr:uid="{E56F7CBD-7B42-415D-89E6-A5EB86625A6B}"/>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56" xr:uid="{BA8991E6-5AB6-484E-B601-4D6DE7F47EC8}"/>
    <cellStyle name="Normal 2 4 2 3 2 2 5 2 3" xfId="12343" xr:uid="{A8662228-CB76-448A-8662-285C9D9F9E43}"/>
    <cellStyle name="Normal 2 4 2 3 2 2 5 3" xfId="5916" xr:uid="{00000000-0005-0000-0000-0000B90E0000}"/>
    <cellStyle name="Normal 2 4 2 3 2 2 5 3 2" xfId="14411" xr:uid="{E188BD06-12CC-47D0-8820-C4D3D1B7E516}"/>
    <cellStyle name="Normal 2 4 2 3 2 2 5 4" xfId="10198" xr:uid="{712AC5BF-7ABE-436B-AD37-6382722FE5C9}"/>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69" xr:uid="{66FEDB52-EA46-4853-87A7-39722F545537}"/>
    <cellStyle name="Normal 2 4 2 3 2 2 6 2 3" xfId="12756" xr:uid="{CA87A8B7-6B74-481E-A234-9812EB443E00}"/>
    <cellStyle name="Normal 2 4 2 3 2 2 6 3" xfId="6329" xr:uid="{00000000-0005-0000-0000-0000BD0E0000}"/>
    <cellStyle name="Normal 2 4 2 3 2 2 6 3 2" xfId="14824" xr:uid="{9EA4BF2A-FDAE-4F61-9F14-CC5925245FB3}"/>
    <cellStyle name="Normal 2 4 2 3 2 2 6 4" xfId="10611" xr:uid="{3C753586-F891-4695-97AC-A6B9A267559C}"/>
    <cellStyle name="Normal 2 4 2 3 2 2 7" xfId="2459" xr:uid="{00000000-0005-0000-0000-0000BE0E0000}"/>
    <cellStyle name="Normal 2 4 2 3 2 2 7 2" xfId="6742" xr:uid="{00000000-0005-0000-0000-0000BF0E0000}"/>
    <cellStyle name="Normal 2 4 2 3 2 2 7 2 2" xfId="15237" xr:uid="{9BA220D5-7151-4286-99D5-5B2B14332B6E}"/>
    <cellStyle name="Normal 2 4 2 3 2 2 7 3" xfId="11024" xr:uid="{EBF4FD6B-F26C-4619-8CC2-F27ABD155254}"/>
    <cellStyle name="Normal 2 4 2 3 2 2 8" xfId="4676" xr:uid="{00000000-0005-0000-0000-0000C00E0000}"/>
    <cellStyle name="Normal 2 4 2 3 2 2 8 2" xfId="13172" xr:uid="{C745798D-2EB5-4A3B-89DB-35407B07C5C7}"/>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732" xr:uid="{A66B7A65-9C00-4EC7-BDFD-0263DE45A1CC}"/>
    <cellStyle name="Normal 2 4 2 3 2 3 2 2 3" xfId="11519" xr:uid="{4E6051D0-0345-45B3-91E7-D2DB003D6735}"/>
    <cellStyle name="Normal 2 4 2 3 2 3 2 3" xfId="5092" xr:uid="{00000000-0005-0000-0000-0000C50E0000}"/>
    <cellStyle name="Normal 2 4 2 3 2 3 2 3 2" xfId="13587" xr:uid="{B4C54202-97AF-429C-A6E6-460D8C2ABFDD}"/>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45" xr:uid="{61A6DE77-F436-470A-8C41-336ABCE06898}"/>
    <cellStyle name="Normal 2 4 2 3 2 3 3 2 3" xfId="11932" xr:uid="{A4D6EEAA-00F7-4835-A0C9-2BA3ED760154}"/>
    <cellStyle name="Normal 2 4 2 3 2 3 3 3" xfId="5505" xr:uid="{00000000-0005-0000-0000-0000C90E0000}"/>
    <cellStyle name="Normal 2 4 2 3 2 3 3 3 2" xfId="14000" xr:uid="{04B740AF-BE10-4197-9A27-624423633CFF}"/>
    <cellStyle name="Normal 2 4 2 3 2 3 3 4" xfId="9787" xr:uid="{945D9AF8-E539-4F83-9895-DE1CAFFB87E6}"/>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58" xr:uid="{105EA67E-A25F-4627-9B03-F99477163892}"/>
    <cellStyle name="Normal 2 4 2 3 2 3 4 2 3" xfId="12345" xr:uid="{746F50C5-6A63-4B51-8BBF-A4B0625D2E08}"/>
    <cellStyle name="Normal 2 4 2 3 2 3 4 3" xfId="5918" xr:uid="{00000000-0005-0000-0000-0000CD0E0000}"/>
    <cellStyle name="Normal 2 4 2 3 2 3 4 3 2" xfId="14413" xr:uid="{1F62840B-CAA5-42F4-B369-FD1FDFF8DAC4}"/>
    <cellStyle name="Normal 2 4 2 3 2 3 4 4" xfId="10200" xr:uid="{5D2AE0D4-040A-4156-8DB3-0070AAAB739F}"/>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71" xr:uid="{883A4AFB-E04C-4911-B934-635BCD3EE0FA}"/>
    <cellStyle name="Normal 2 4 2 3 2 3 5 2 3" xfId="12758" xr:uid="{B5963907-30E9-41D3-A897-D0F884E9245A}"/>
    <cellStyle name="Normal 2 4 2 3 2 3 5 3" xfId="6331" xr:uid="{00000000-0005-0000-0000-0000D10E0000}"/>
    <cellStyle name="Normal 2 4 2 3 2 3 5 3 2" xfId="14826" xr:uid="{7083715B-3AFE-4209-BB77-C0648E71F193}"/>
    <cellStyle name="Normal 2 4 2 3 2 3 5 4" xfId="10613" xr:uid="{2FE410A5-9104-4BA2-AC8F-F8256DD4DEE0}"/>
    <cellStyle name="Normal 2 4 2 3 2 3 6" xfId="2461" xr:uid="{00000000-0005-0000-0000-0000D20E0000}"/>
    <cellStyle name="Normal 2 4 2 3 2 3 6 2" xfId="6744" xr:uid="{00000000-0005-0000-0000-0000D30E0000}"/>
    <cellStyle name="Normal 2 4 2 3 2 3 6 2 2" xfId="15239" xr:uid="{DB7E09BE-33DE-4CA0-A07F-CE8DA5E9E2E2}"/>
    <cellStyle name="Normal 2 4 2 3 2 3 6 3" xfId="11026" xr:uid="{B241E4A4-7A6F-440B-850A-F76717C30AE6}"/>
    <cellStyle name="Normal 2 4 2 3 2 3 7" xfId="4678" xr:uid="{00000000-0005-0000-0000-0000D40E0000}"/>
    <cellStyle name="Normal 2 4 2 3 2 3 7 2" xfId="13174" xr:uid="{AB315AA2-89FE-493B-825E-BADDAB59A154}"/>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729" xr:uid="{2F8C0D49-1993-495C-925A-30CFC797E0E5}"/>
    <cellStyle name="Normal 2 4 2 3 2 4 2 3" xfId="11516" xr:uid="{71DD6452-9E76-4DDC-8C41-D61E6CA4C2E8}"/>
    <cellStyle name="Normal 2 4 2 3 2 4 3" xfId="5089" xr:uid="{00000000-0005-0000-0000-0000D80E0000}"/>
    <cellStyle name="Normal 2 4 2 3 2 4 3 2" xfId="13584" xr:uid="{165EDEA2-D199-48C4-9D3C-52CCF9EF096F}"/>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142" xr:uid="{972FDA4F-D700-4CC5-B20E-788DEF904FE9}"/>
    <cellStyle name="Normal 2 4 2 3 2 5 2 3" xfId="11929" xr:uid="{EBD714E3-C741-40B7-9DC4-70FF63322270}"/>
    <cellStyle name="Normal 2 4 2 3 2 5 3" xfId="5502" xr:uid="{00000000-0005-0000-0000-0000DC0E0000}"/>
    <cellStyle name="Normal 2 4 2 3 2 5 3 2" xfId="13997" xr:uid="{BE33B5F6-F430-4CDE-BF19-217CC7A2E563}"/>
    <cellStyle name="Normal 2 4 2 3 2 5 4" xfId="9784" xr:uid="{CAD1F984-BF0F-4C55-B34C-697D1C65A0FC}"/>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55" xr:uid="{38257C91-91E8-4142-8D93-9B31D5E2AFB7}"/>
    <cellStyle name="Normal 2 4 2 3 2 6 2 3" xfId="12342" xr:uid="{E34FEDAC-A804-453A-BFBD-4DD8DFCEF00D}"/>
    <cellStyle name="Normal 2 4 2 3 2 6 3" xfId="5915" xr:uid="{00000000-0005-0000-0000-0000E00E0000}"/>
    <cellStyle name="Normal 2 4 2 3 2 6 3 2" xfId="14410" xr:uid="{87998160-7C28-4682-8103-BB3749E1B298}"/>
    <cellStyle name="Normal 2 4 2 3 2 6 4" xfId="10197" xr:uid="{EA7FAACB-3EC4-424A-9575-8D4431D659AF}"/>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68" xr:uid="{3F65AC98-7FB4-4E16-8716-034119C0826B}"/>
    <cellStyle name="Normal 2 4 2 3 2 7 2 3" xfId="12755" xr:uid="{D55D695A-282B-4D03-96A3-7F9961B648AA}"/>
    <cellStyle name="Normal 2 4 2 3 2 7 3" xfId="6328" xr:uid="{00000000-0005-0000-0000-0000E40E0000}"/>
    <cellStyle name="Normal 2 4 2 3 2 7 3 2" xfId="14823" xr:uid="{3FD5ACE2-FB4B-4336-9ABE-2C33640C73A1}"/>
    <cellStyle name="Normal 2 4 2 3 2 7 4" xfId="10610" xr:uid="{622581CF-938A-46EE-866E-22F338FF167D}"/>
    <cellStyle name="Normal 2 4 2 3 2 8" xfId="2458" xr:uid="{00000000-0005-0000-0000-0000E50E0000}"/>
    <cellStyle name="Normal 2 4 2 3 2 8 2" xfId="6741" xr:uid="{00000000-0005-0000-0000-0000E60E0000}"/>
    <cellStyle name="Normal 2 4 2 3 2 8 2 2" xfId="15236" xr:uid="{DCE769ED-47A1-413E-B43B-119315B4AB22}"/>
    <cellStyle name="Normal 2 4 2 3 2 8 3" xfId="11023" xr:uid="{4ABA1EE1-619F-4F12-B8E8-E36C9F130349}"/>
    <cellStyle name="Normal 2 4 2 3 2 9" xfId="4675" xr:uid="{00000000-0005-0000-0000-0000E70E0000}"/>
    <cellStyle name="Normal 2 4 2 3 2 9 2" xfId="13171" xr:uid="{58F2A2A1-E9D3-4D91-845E-77FD0B72C7FA}"/>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734" xr:uid="{B722D8D2-0DE2-43B8-97AB-AE372F91472D}"/>
    <cellStyle name="Normal 2 4 2 3 3 2 2 2 3" xfId="11521" xr:uid="{6D573FF8-641D-4D5E-A339-0200D2DF65A6}"/>
    <cellStyle name="Normal 2 4 2 3 3 2 2 3" xfId="5094" xr:uid="{00000000-0005-0000-0000-0000ED0E0000}"/>
    <cellStyle name="Normal 2 4 2 3 3 2 2 3 2" xfId="13589" xr:uid="{AC4668F6-1F99-4E72-9DCE-155468ABEB56}"/>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47" xr:uid="{74E0DCBF-87A5-42BA-9A62-A4B953C872EF}"/>
    <cellStyle name="Normal 2 4 2 3 3 2 3 2 3" xfId="11934" xr:uid="{B925B190-10D2-4F31-BEC5-7B4892D6C2F8}"/>
    <cellStyle name="Normal 2 4 2 3 3 2 3 3" xfId="5507" xr:uid="{00000000-0005-0000-0000-0000F10E0000}"/>
    <cellStyle name="Normal 2 4 2 3 3 2 3 3 2" xfId="14002" xr:uid="{D2B210F1-3C60-4745-A76D-DE0F519F4FCB}"/>
    <cellStyle name="Normal 2 4 2 3 3 2 3 4" xfId="9789" xr:uid="{049C3B65-40C2-4889-82C9-764697D491B1}"/>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60" xr:uid="{AFD4E80B-D278-4516-B964-C92BE50B6922}"/>
    <cellStyle name="Normal 2 4 2 3 3 2 4 2 3" xfId="12347" xr:uid="{3F1775D7-E122-4686-AFD7-B49278F21D14}"/>
    <cellStyle name="Normal 2 4 2 3 3 2 4 3" xfId="5920" xr:uid="{00000000-0005-0000-0000-0000F50E0000}"/>
    <cellStyle name="Normal 2 4 2 3 3 2 4 3 2" xfId="14415" xr:uid="{AFB0F1F1-7640-4771-8C55-010B84D252A6}"/>
    <cellStyle name="Normal 2 4 2 3 3 2 4 4" xfId="10202" xr:uid="{468A9662-0895-468C-BCCE-191A5804A71B}"/>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73" xr:uid="{ADE62EB8-4C46-4907-A144-11D9881090FE}"/>
    <cellStyle name="Normal 2 4 2 3 3 2 5 2 3" xfId="12760" xr:uid="{9D97DBB1-1142-466B-A7B1-DFB679E7E06C}"/>
    <cellStyle name="Normal 2 4 2 3 3 2 5 3" xfId="6333" xr:uid="{00000000-0005-0000-0000-0000F90E0000}"/>
    <cellStyle name="Normal 2 4 2 3 3 2 5 3 2" xfId="14828" xr:uid="{8EA6887C-56A3-4989-BF65-449FE97EA560}"/>
    <cellStyle name="Normal 2 4 2 3 3 2 5 4" xfId="10615" xr:uid="{E87092BB-3B19-4BE3-8246-01084DD0A806}"/>
    <cellStyle name="Normal 2 4 2 3 3 2 6" xfId="2463" xr:uid="{00000000-0005-0000-0000-0000FA0E0000}"/>
    <cellStyle name="Normal 2 4 2 3 3 2 6 2" xfId="6746" xr:uid="{00000000-0005-0000-0000-0000FB0E0000}"/>
    <cellStyle name="Normal 2 4 2 3 3 2 6 2 2" xfId="15241" xr:uid="{7746AFD0-52C0-4C60-AAFF-BFFEE571EBDF}"/>
    <cellStyle name="Normal 2 4 2 3 3 2 6 3" xfId="11028" xr:uid="{6AC4D338-8D68-4B38-A5DF-5F1D8203D0FF}"/>
    <cellStyle name="Normal 2 4 2 3 3 2 7" xfId="4680" xr:uid="{00000000-0005-0000-0000-0000FC0E0000}"/>
    <cellStyle name="Normal 2 4 2 3 3 2 7 2" xfId="13176" xr:uid="{22F5CB4D-D29C-4DED-ABFF-58333F762364}"/>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733" xr:uid="{C658D85D-A183-4662-BE4D-5A7D98C94244}"/>
    <cellStyle name="Normal 2 4 2 3 3 3 2 3" xfId="11520" xr:uid="{CD4FC516-3DF3-492E-9F3D-A2C4F1A0504A}"/>
    <cellStyle name="Normal 2 4 2 3 3 3 3" xfId="5093" xr:uid="{00000000-0005-0000-0000-0000000F0000}"/>
    <cellStyle name="Normal 2 4 2 3 3 3 3 2" xfId="13588" xr:uid="{6D879470-E578-4BB3-A6C5-0E13AED65FD5}"/>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46" xr:uid="{12EC872A-1981-4E8E-8BF6-2BD471E1F968}"/>
    <cellStyle name="Normal 2 4 2 3 3 4 2 3" xfId="11933" xr:uid="{858FF8CF-7894-4D76-8B99-9F2B010D50E7}"/>
    <cellStyle name="Normal 2 4 2 3 3 4 3" xfId="5506" xr:uid="{00000000-0005-0000-0000-0000040F0000}"/>
    <cellStyle name="Normal 2 4 2 3 3 4 3 2" xfId="14001" xr:uid="{AEED5932-D05A-4F8F-8C0D-29012E880034}"/>
    <cellStyle name="Normal 2 4 2 3 3 4 4" xfId="9788" xr:uid="{D43315C1-04D2-4E3F-A603-C01337BDE591}"/>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59" xr:uid="{5BC44FDF-537E-47C8-9DF8-C3A62A1E2BC8}"/>
    <cellStyle name="Normal 2 4 2 3 3 5 2 3" xfId="12346" xr:uid="{C0898711-3F78-4E4E-9994-4C4FAA24A92B}"/>
    <cellStyle name="Normal 2 4 2 3 3 5 3" xfId="5919" xr:uid="{00000000-0005-0000-0000-0000080F0000}"/>
    <cellStyle name="Normal 2 4 2 3 3 5 3 2" xfId="14414" xr:uid="{31ABA578-7756-43B0-863A-90C7880E1533}"/>
    <cellStyle name="Normal 2 4 2 3 3 5 4" xfId="10201" xr:uid="{A9B3C8FC-B2ED-4CB5-A9D7-080ABA3B78BC}"/>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72" xr:uid="{2117950C-6832-48EA-91BE-E11B9CD73ABF}"/>
    <cellStyle name="Normal 2 4 2 3 3 6 2 3" xfId="12759" xr:uid="{DC83010C-4C50-47B7-B4A9-6170D846F0F4}"/>
    <cellStyle name="Normal 2 4 2 3 3 6 3" xfId="6332" xr:uid="{00000000-0005-0000-0000-00000C0F0000}"/>
    <cellStyle name="Normal 2 4 2 3 3 6 3 2" xfId="14827" xr:uid="{52DA0703-CF68-41B1-9A25-8B95CDD14EB2}"/>
    <cellStyle name="Normal 2 4 2 3 3 6 4" xfId="10614" xr:uid="{CBC76BD8-8626-43E4-8827-0E1DEE6793CB}"/>
    <cellStyle name="Normal 2 4 2 3 3 7" xfId="2462" xr:uid="{00000000-0005-0000-0000-00000D0F0000}"/>
    <cellStyle name="Normal 2 4 2 3 3 7 2" xfId="6745" xr:uid="{00000000-0005-0000-0000-00000E0F0000}"/>
    <cellStyle name="Normal 2 4 2 3 3 7 2 2" xfId="15240" xr:uid="{BCFDA048-0325-4DF7-9D60-10655A7D83F3}"/>
    <cellStyle name="Normal 2 4 2 3 3 7 3" xfId="11027" xr:uid="{F7C8543E-79E7-4536-846B-546E7991333E}"/>
    <cellStyle name="Normal 2 4 2 3 3 8" xfId="4679" xr:uid="{00000000-0005-0000-0000-00000F0F0000}"/>
    <cellStyle name="Normal 2 4 2 3 3 8 2" xfId="13175" xr:uid="{291E176F-3407-47CC-ABA4-B8B739705FC8}"/>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735" xr:uid="{5082734E-5C0A-4AA3-B215-5D031DBF8EA8}"/>
    <cellStyle name="Normal 2 4 2 3 4 2 2 3" xfId="11522" xr:uid="{CE6DF8FF-216D-4C17-B74F-0077F4CD348E}"/>
    <cellStyle name="Normal 2 4 2 3 4 2 3" xfId="5095" xr:uid="{00000000-0005-0000-0000-0000140F0000}"/>
    <cellStyle name="Normal 2 4 2 3 4 2 3 2" xfId="13590" xr:uid="{77832EA6-3E2F-4601-BCC4-B793087B36BE}"/>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48" xr:uid="{44B71EB7-C203-4639-A797-6EF5107D11DF}"/>
    <cellStyle name="Normal 2 4 2 3 4 3 2 3" xfId="11935" xr:uid="{B57046CE-5CDA-4589-BA5F-EE61BF6EC88C}"/>
    <cellStyle name="Normal 2 4 2 3 4 3 3" xfId="5508" xr:uid="{00000000-0005-0000-0000-0000180F0000}"/>
    <cellStyle name="Normal 2 4 2 3 4 3 3 2" xfId="14003" xr:uid="{A275036E-0F18-4022-8617-14A836C57803}"/>
    <cellStyle name="Normal 2 4 2 3 4 3 4" xfId="9790" xr:uid="{E3B8035C-F6FA-4855-B919-7465D97F535A}"/>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61" xr:uid="{D3F9DC66-9166-4DEF-9DC3-10F2FA0028C2}"/>
    <cellStyle name="Normal 2 4 2 3 4 4 2 3" xfId="12348" xr:uid="{12BD56C4-5469-40EA-8520-EC36970C4EE6}"/>
    <cellStyle name="Normal 2 4 2 3 4 4 3" xfId="5921" xr:uid="{00000000-0005-0000-0000-00001C0F0000}"/>
    <cellStyle name="Normal 2 4 2 3 4 4 3 2" xfId="14416" xr:uid="{B3C2BE96-AE64-40E2-9C75-E2BF0D22CE21}"/>
    <cellStyle name="Normal 2 4 2 3 4 4 4" xfId="10203" xr:uid="{676FD122-69F5-4DF0-B569-A5AA8FFF639D}"/>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74" xr:uid="{3E0638F5-C63E-4B10-A436-BB3BBF61151A}"/>
    <cellStyle name="Normal 2 4 2 3 4 5 2 3" xfId="12761" xr:uid="{3A98C6BE-D3DF-4237-ACE3-52ADB3683304}"/>
    <cellStyle name="Normal 2 4 2 3 4 5 3" xfId="6334" xr:uid="{00000000-0005-0000-0000-0000200F0000}"/>
    <cellStyle name="Normal 2 4 2 3 4 5 3 2" xfId="14829" xr:uid="{4E0B1F76-885E-4DFA-B10C-B0679F589B1D}"/>
    <cellStyle name="Normal 2 4 2 3 4 5 4" xfId="10616" xr:uid="{90DF5A65-33D4-4AF7-B66C-DFE0867C90B7}"/>
    <cellStyle name="Normal 2 4 2 3 4 6" xfId="2464" xr:uid="{00000000-0005-0000-0000-0000210F0000}"/>
    <cellStyle name="Normal 2 4 2 3 4 6 2" xfId="6747" xr:uid="{00000000-0005-0000-0000-0000220F0000}"/>
    <cellStyle name="Normal 2 4 2 3 4 6 2 2" xfId="15242" xr:uid="{ADDD3800-3E53-4FE5-8756-5FFFA6C75775}"/>
    <cellStyle name="Normal 2 4 2 3 4 6 3" xfId="11029" xr:uid="{2CCA9842-3747-4A18-A0C4-032A4A334BF4}"/>
    <cellStyle name="Normal 2 4 2 3 4 7" xfId="4681" xr:uid="{00000000-0005-0000-0000-0000230F0000}"/>
    <cellStyle name="Normal 2 4 2 3 4 7 2" xfId="13177" xr:uid="{1CBF66B4-A6B0-4087-9956-90AD82C64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728" xr:uid="{CD71BBBE-1E0D-442D-AB0B-06CBB4786CB8}"/>
    <cellStyle name="Normal 2 4 2 3 5 2 3" xfId="11515" xr:uid="{FD4535BF-E1E2-466D-88C2-46DDD70992BC}"/>
    <cellStyle name="Normal 2 4 2 3 5 3" xfId="5088" xr:uid="{00000000-0005-0000-0000-0000270F0000}"/>
    <cellStyle name="Normal 2 4 2 3 5 3 2" xfId="13583" xr:uid="{57B154E2-C913-4FDB-AE67-810EFFC9922A}"/>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141" xr:uid="{FB82CC71-BB64-4632-B64A-E8F84200A892}"/>
    <cellStyle name="Normal 2 4 2 3 6 2 3" xfId="11928" xr:uid="{97C76EB8-2208-4CB7-A458-CADBEE4BBC56}"/>
    <cellStyle name="Normal 2 4 2 3 6 3" xfId="5501" xr:uid="{00000000-0005-0000-0000-00002B0F0000}"/>
    <cellStyle name="Normal 2 4 2 3 6 3 2" xfId="13996" xr:uid="{AEF89714-DC99-4761-96D8-BDEA71C5B335}"/>
    <cellStyle name="Normal 2 4 2 3 6 4" xfId="9783" xr:uid="{C9B457C3-AC94-437E-B98A-6E6FD56273DF}"/>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54" xr:uid="{5336829A-051D-4551-9F09-B5A14B9C7DCD}"/>
    <cellStyle name="Normal 2 4 2 3 7 2 3" xfId="12341" xr:uid="{F8340DC0-D5F3-4203-89DC-556252833BAA}"/>
    <cellStyle name="Normal 2 4 2 3 7 3" xfId="5914" xr:uid="{00000000-0005-0000-0000-00002F0F0000}"/>
    <cellStyle name="Normal 2 4 2 3 7 3 2" xfId="14409" xr:uid="{136F37EA-17F9-4477-A6E5-F20015FDE38C}"/>
    <cellStyle name="Normal 2 4 2 3 7 4" xfId="10196" xr:uid="{6C3F3AEB-B877-412B-BE0E-EB08C2FE5944}"/>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67" xr:uid="{33C66247-8093-4B9A-BC43-D1204D0D17B5}"/>
    <cellStyle name="Normal 2 4 2 3 8 2 3" xfId="12754" xr:uid="{5D558B64-3CA7-49DA-B812-CDDD58E3DFF7}"/>
    <cellStyle name="Normal 2 4 2 3 8 3" xfId="6327" xr:uid="{00000000-0005-0000-0000-0000330F0000}"/>
    <cellStyle name="Normal 2 4 2 3 8 3 2" xfId="14822" xr:uid="{C8E1E86F-4D59-4766-A180-9D0388A655CA}"/>
    <cellStyle name="Normal 2 4 2 3 8 4" xfId="10609" xr:uid="{7E6A6480-30FD-4A6F-8627-C6246306750B}"/>
    <cellStyle name="Normal 2 4 2 3 9" xfId="2457" xr:uid="{00000000-0005-0000-0000-0000340F0000}"/>
    <cellStyle name="Normal 2 4 2 3 9 2" xfId="6740" xr:uid="{00000000-0005-0000-0000-0000350F0000}"/>
    <cellStyle name="Normal 2 4 2 3 9 2 2" xfId="15235" xr:uid="{8C7811A5-1A9F-4D0A-B3DF-0280022002F1}"/>
    <cellStyle name="Normal 2 4 2 3 9 3" xfId="11022" xr:uid="{5636AFF3-0C9B-47B9-B9ED-386FC4C18E9A}"/>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738" xr:uid="{6A55D3CA-970F-449C-B967-10FE9C9E37EC}"/>
    <cellStyle name="Normal 2 4 2 4 2 2 2 2 3" xfId="11525" xr:uid="{D7573CA7-F2B8-412E-B0CF-F656238F3962}"/>
    <cellStyle name="Normal 2 4 2 4 2 2 2 3" xfId="5098" xr:uid="{00000000-0005-0000-0000-00003C0F0000}"/>
    <cellStyle name="Normal 2 4 2 4 2 2 2 3 2" xfId="13593" xr:uid="{13F73913-45A6-47AA-82CD-EEE00B8DBF5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51" xr:uid="{C94CCAE4-7037-41CF-AC51-5A5637C86DDE}"/>
    <cellStyle name="Normal 2 4 2 4 2 2 3 2 3" xfId="11938" xr:uid="{6B1456D6-8580-4098-983C-8A9BC8453458}"/>
    <cellStyle name="Normal 2 4 2 4 2 2 3 3" xfId="5511" xr:uid="{00000000-0005-0000-0000-0000400F0000}"/>
    <cellStyle name="Normal 2 4 2 4 2 2 3 3 2" xfId="14006" xr:uid="{89287D9E-8C1F-4F8C-A4B2-0936D87672D7}"/>
    <cellStyle name="Normal 2 4 2 4 2 2 3 4" xfId="9793" xr:uid="{3FE74EE5-9215-4D9E-B205-6CBB4E5F997D}"/>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64" xr:uid="{B6BD2526-5EFA-4F7B-956B-18933F681A63}"/>
    <cellStyle name="Normal 2 4 2 4 2 2 4 2 3" xfId="12351" xr:uid="{726D4697-632F-4C44-85B8-CB66EDD58439}"/>
    <cellStyle name="Normal 2 4 2 4 2 2 4 3" xfId="5924" xr:uid="{00000000-0005-0000-0000-0000440F0000}"/>
    <cellStyle name="Normal 2 4 2 4 2 2 4 3 2" xfId="14419" xr:uid="{ED7A450F-79F9-4480-8263-3BDC8940B220}"/>
    <cellStyle name="Normal 2 4 2 4 2 2 4 4" xfId="10206" xr:uid="{C8C33AC9-C83F-4C42-8E6B-CD13EB8018AE}"/>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77" xr:uid="{5027C9C2-5375-49FD-8993-626754BEF49A}"/>
    <cellStyle name="Normal 2 4 2 4 2 2 5 2 3" xfId="12764" xr:uid="{741523BB-6963-48E2-89F2-474C370C2929}"/>
    <cellStyle name="Normal 2 4 2 4 2 2 5 3" xfId="6337" xr:uid="{00000000-0005-0000-0000-0000480F0000}"/>
    <cellStyle name="Normal 2 4 2 4 2 2 5 3 2" xfId="14832" xr:uid="{146023C7-0B9D-44D6-9D25-90AE293C5D93}"/>
    <cellStyle name="Normal 2 4 2 4 2 2 5 4" xfId="10619" xr:uid="{7D294C1B-6265-48A4-A2FC-9871B43237E9}"/>
    <cellStyle name="Normal 2 4 2 4 2 2 6" xfId="2467" xr:uid="{00000000-0005-0000-0000-0000490F0000}"/>
    <cellStyle name="Normal 2 4 2 4 2 2 6 2" xfId="6750" xr:uid="{00000000-0005-0000-0000-00004A0F0000}"/>
    <cellStyle name="Normal 2 4 2 4 2 2 6 2 2" xfId="15245" xr:uid="{5A37470B-150D-4BBC-A062-7D7BB5A98DC3}"/>
    <cellStyle name="Normal 2 4 2 4 2 2 6 3" xfId="11032" xr:uid="{60204057-1415-4844-AEEF-14B8D9EE30A4}"/>
    <cellStyle name="Normal 2 4 2 4 2 2 7" xfId="4684" xr:uid="{00000000-0005-0000-0000-00004B0F0000}"/>
    <cellStyle name="Normal 2 4 2 4 2 2 7 2" xfId="13180" xr:uid="{2C13F134-AD32-4901-B4BD-58F449CE0442}"/>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737" xr:uid="{B5C21A2D-9B8C-4626-AD5D-C3AC409930A0}"/>
    <cellStyle name="Normal 2 4 2 4 2 3 2 3" xfId="11524" xr:uid="{7E65D7D9-22A6-4100-A009-5C364A4C4AD1}"/>
    <cellStyle name="Normal 2 4 2 4 2 3 3" xfId="5097" xr:uid="{00000000-0005-0000-0000-00004F0F0000}"/>
    <cellStyle name="Normal 2 4 2 4 2 3 3 2" xfId="13592" xr:uid="{900FD6BC-0F78-4C1B-93B8-17579876FD66}"/>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50" xr:uid="{2CA71C1E-C1FB-46D1-8F50-43CA097A40B9}"/>
    <cellStyle name="Normal 2 4 2 4 2 4 2 3" xfId="11937" xr:uid="{8C463288-A89F-43ED-9B20-57814DF56102}"/>
    <cellStyle name="Normal 2 4 2 4 2 4 3" xfId="5510" xr:uid="{00000000-0005-0000-0000-0000530F0000}"/>
    <cellStyle name="Normal 2 4 2 4 2 4 3 2" xfId="14005" xr:uid="{162B22B9-33BA-4C0D-AEA9-C893D0393037}"/>
    <cellStyle name="Normal 2 4 2 4 2 4 4" xfId="9792" xr:uid="{DBB94D30-B91E-4164-BDD0-71747098FC6F}"/>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63" xr:uid="{EDCF3E2C-42E4-42D3-AA51-178A89ACEB2B}"/>
    <cellStyle name="Normal 2 4 2 4 2 5 2 3" xfId="12350" xr:uid="{51135D21-EA61-453D-A310-2852B1811067}"/>
    <cellStyle name="Normal 2 4 2 4 2 5 3" xfId="5923" xr:uid="{00000000-0005-0000-0000-0000570F0000}"/>
    <cellStyle name="Normal 2 4 2 4 2 5 3 2" xfId="14418" xr:uid="{8210A632-7D21-462B-9D57-A3188A856937}"/>
    <cellStyle name="Normal 2 4 2 4 2 5 4" xfId="10205" xr:uid="{FCC52F10-70FB-48C1-9EB2-5757AD41DC3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76" xr:uid="{9ADDFD47-D460-4C72-A8A6-7B0CAD2E0393}"/>
    <cellStyle name="Normal 2 4 2 4 2 6 2 3" xfId="12763" xr:uid="{0F805354-6DC9-4419-8D9C-1DA2F276FC5E}"/>
    <cellStyle name="Normal 2 4 2 4 2 6 3" xfId="6336" xr:uid="{00000000-0005-0000-0000-00005B0F0000}"/>
    <cellStyle name="Normal 2 4 2 4 2 6 3 2" xfId="14831" xr:uid="{F5D1D6EC-E674-4BC6-80DF-C6713AF9C7B0}"/>
    <cellStyle name="Normal 2 4 2 4 2 6 4" xfId="10618" xr:uid="{E88AB879-340E-4075-A5F6-94444EA9064D}"/>
    <cellStyle name="Normal 2 4 2 4 2 7" xfId="2466" xr:uid="{00000000-0005-0000-0000-00005C0F0000}"/>
    <cellStyle name="Normal 2 4 2 4 2 7 2" xfId="6749" xr:uid="{00000000-0005-0000-0000-00005D0F0000}"/>
    <cellStyle name="Normal 2 4 2 4 2 7 2 2" xfId="15244" xr:uid="{5728EA70-678C-440A-A1E1-88CE3735AC4C}"/>
    <cellStyle name="Normal 2 4 2 4 2 7 3" xfId="11031" xr:uid="{196BA076-6C7A-40A1-892C-331022792F20}"/>
    <cellStyle name="Normal 2 4 2 4 2 8" xfId="4683" xr:uid="{00000000-0005-0000-0000-00005E0F0000}"/>
    <cellStyle name="Normal 2 4 2 4 2 8 2" xfId="13179" xr:uid="{4A71A5C0-554D-4DC4-8113-7EC72005C0AB}"/>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739" xr:uid="{64C93C5A-A993-41CF-929C-F34E8C2AD553}"/>
    <cellStyle name="Normal 2 4 2 4 3 2 2 3" xfId="11526" xr:uid="{64AED7B6-7A28-472B-B997-ED626481206E}"/>
    <cellStyle name="Normal 2 4 2 4 3 2 3" xfId="5099" xr:uid="{00000000-0005-0000-0000-0000630F0000}"/>
    <cellStyle name="Normal 2 4 2 4 3 2 3 2" xfId="13594" xr:uid="{1220C113-694E-4BA2-95FB-5293405A8683}"/>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52" xr:uid="{9D3B6263-31ED-49DC-979C-B6FD5533C3D8}"/>
    <cellStyle name="Normal 2 4 2 4 3 3 2 3" xfId="11939" xr:uid="{87A83B01-B69D-4568-87A2-E7DF91A758F6}"/>
    <cellStyle name="Normal 2 4 2 4 3 3 3" xfId="5512" xr:uid="{00000000-0005-0000-0000-0000670F0000}"/>
    <cellStyle name="Normal 2 4 2 4 3 3 3 2" xfId="14007" xr:uid="{B2923282-5AC0-4CDA-94CF-60ACCC42763F}"/>
    <cellStyle name="Normal 2 4 2 4 3 3 4" xfId="9794" xr:uid="{C2629F58-07AB-4768-ACE7-9235828ADD25}"/>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65" xr:uid="{F0256195-3E44-4D53-901F-787193328D98}"/>
    <cellStyle name="Normal 2 4 2 4 3 4 2 3" xfId="12352" xr:uid="{8D71888F-7878-44BA-B5D8-414AB7968245}"/>
    <cellStyle name="Normal 2 4 2 4 3 4 3" xfId="5925" xr:uid="{00000000-0005-0000-0000-00006B0F0000}"/>
    <cellStyle name="Normal 2 4 2 4 3 4 3 2" xfId="14420" xr:uid="{574FEC49-510E-44B9-ADFE-B26F65CCF543}"/>
    <cellStyle name="Normal 2 4 2 4 3 4 4" xfId="10207" xr:uid="{05C36572-551F-4D5C-871C-D59A697CB6AF}"/>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78" xr:uid="{AAD7A474-9C1F-473D-B18A-A2A573376276}"/>
    <cellStyle name="Normal 2 4 2 4 3 5 2 3" xfId="12765" xr:uid="{19F8DA4C-AA0E-459B-A8C7-8B47EC505BD6}"/>
    <cellStyle name="Normal 2 4 2 4 3 5 3" xfId="6338" xr:uid="{00000000-0005-0000-0000-00006F0F0000}"/>
    <cellStyle name="Normal 2 4 2 4 3 5 3 2" xfId="14833" xr:uid="{F2FDB65C-66C8-4422-9E80-508E5E33BE33}"/>
    <cellStyle name="Normal 2 4 2 4 3 5 4" xfId="10620" xr:uid="{2EFF162D-D97A-4BA6-9E99-53E2DD62FA5F}"/>
    <cellStyle name="Normal 2 4 2 4 3 6" xfId="2468" xr:uid="{00000000-0005-0000-0000-0000700F0000}"/>
    <cellStyle name="Normal 2 4 2 4 3 6 2" xfId="6751" xr:uid="{00000000-0005-0000-0000-0000710F0000}"/>
    <cellStyle name="Normal 2 4 2 4 3 6 2 2" xfId="15246" xr:uid="{1A20EC98-EA4F-4CCE-B540-57876387E804}"/>
    <cellStyle name="Normal 2 4 2 4 3 6 3" xfId="11033" xr:uid="{DC51BBFB-9F6F-4975-986F-411ACC4F4267}"/>
    <cellStyle name="Normal 2 4 2 4 3 7" xfId="4685" xr:uid="{00000000-0005-0000-0000-0000720F0000}"/>
    <cellStyle name="Normal 2 4 2 4 3 7 2" xfId="13181" xr:uid="{871A8E34-692E-4436-89DC-A4B4C616226E}"/>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736" xr:uid="{D76FA34A-F0E4-4D9D-919B-908ABCB34221}"/>
    <cellStyle name="Normal 2 4 2 4 4 2 3" xfId="11523" xr:uid="{CA384CE1-805D-4171-84FF-B46E66BE48FF}"/>
    <cellStyle name="Normal 2 4 2 4 4 3" xfId="5096" xr:uid="{00000000-0005-0000-0000-0000760F0000}"/>
    <cellStyle name="Normal 2 4 2 4 4 3 2" xfId="13591" xr:uid="{9BAC3B1E-2BEB-4BC2-AD80-F1788A74173D}"/>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49" xr:uid="{3834E69B-FEED-457D-8FA3-8A129174959A}"/>
    <cellStyle name="Normal 2 4 2 4 5 2 3" xfId="11936" xr:uid="{4A230B3B-A8D7-4A75-B777-11C80709711E}"/>
    <cellStyle name="Normal 2 4 2 4 5 3" xfId="5509" xr:uid="{00000000-0005-0000-0000-00007A0F0000}"/>
    <cellStyle name="Normal 2 4 2 4 5 3 2" xfId="14004" xr:uid="{8FD8925A-163C-4B5F-ACC6-3FAC16A4A1ED}"/>
    <cellStyle name="Normal 2 4 2 4 5 4" xfId="9791" xr:uid="{D5830C49-BF5B-4D8C-9B59-C3FD2D432575}"/>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62" xr:uid="{EAFA41C7-583A-48A4-9148-B57081457B61}"/>
    <cellStyle name="Normal 2 4 2 4 6 2 3" xfId="12349" xr:uid="{A8149E95-E4EF-4513-84B0-A7447DA2C4BF}"/>
    <cellStyle name="Normal 2 4 2 4 6 3" xfId="5922" xr:uid="{00000000-0005-0000-0000-00007E0F0000}"/>
    <cellStyle name="Normal 2 4 2 4 6 3 2" xfId="14417" xr:uid="{10611CA4-BFCA-46F9-98E1-C34AB5DDE453}"/>
    <cellStyle name="Normal 2 4 2 4 6 4" xfId="10204" xr:uid="{F843DB34-812C-4686-9F61-2CD4E113161E}"/>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75" xr:uid="{2047787B-D1F4-4296-9655-971C1EF8F447}"/>
    <cellStyle name="Normal 2 4 2 4 7 2 3" xfId="12762" xr:uid="{9078F874-0EDF-4E43-AEF0-3AEDE309602D}"/>
    <cellStyle name="Normal 2 4 2 4 7 3" xfId="6335" xr:uid="{00000000-0005-0000-0000-0000820F0000}"/>
    <cellStyle name="Normal 2 4 2 4 7 3 2" xfId="14830" xr:uid="{1D99406C-1DA5-4E80-B01C-24141F93082A}"/>
    <cellStyle name="Normal 2 4 2 4 7 4" xfId="10617" xr:uid="{C815CF41-28E5-467E-9B23-31053D132280}"/>
    <cellStyle name="Normal 2 4 2 4 8" xfId="2465" xr:uid="{00000000-0005-0000-0000-0000830F0000}"/>
    <cellStyle name="Normal 2 4 2 4 8 2" xfId="6748" xr:uid="{00000000-0005-0000-0000-0000840F0000}"/>
    <cellStyle name="Normal 2 4 2 4 8 2 2" xfId="15243" xr:uid="{D853230A-A50B-443E-936C-59EB3160CF9B}"/>
    <cellStyle name="Normal 2 4 2 4 8 3" xfId="11030" xr:uid="{A122A8B5-CB13-4A26-93C0-1A0642DC8783}"/>
    <cellStyle name="Normal 2 4 2 4 9" xfId="4682" xr:uid="{00000000-0005-0000-0000-0000850F0000}"/>
    <cellStyle name="Normal 2 4 2 4 9 2" xfId="13178" xr:uid="{1767E296-C3C7-4409-8359-FF068CA10B2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741" xr:uid="{B4012350-61D8-4E6E-91C7-7B91E6CDDA96}"/>
    <cellStyle name="Normal 2 4 2 5 2 2 2 3" xfId="11528" xr:uid="{A6DD9F8D-AB12-420E-915B-5DF58F6A27BB}"/>
    <cellStyle name="Normal 2 4 2 5 2 2 3" xfId="5101" xr:uid="{00000000-0005-0000-0000-00008B0F0000}"/>
    <cellStyle name="Normal 2 4 2 5 2 2 3 2" xfId="13596" xr:uid="{73305DBE-DCEE-4A41-AAC6-5F80A6799C21}"/>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54" xr:uid="{D92F07A1-0E5A-4EF0-A9FC-B60EBC7BD0E9}"/>
    <cellStyle name="Normal 2 4 2 5 2 3 2 3" xfId="11941" xr:uid="{40614858-339B-4912-9340-31DEA07FB478}"/>
    <cellStyle name="Normal 2 4 2 5 2 3 3" xfId="5514" xr:uid="{00000000-0005-0000-0000-00008F0F0000}"/>
    <cellStyle name="Normal 2 4 2 5 2 3 3 2" xfId="14009" xr:uid="{4EAC84F7-5830-43F9-813D-A89C5E4DE5FE}"/>
    <cellStyle name="Normal 2 4 2 5 2 3 4" xfId="9796" xr:uid="{E8EA6A7A-8C69-4548-A1A1-68B97DF3ACA7}"/>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67" xr:uid="{329EEEC6-C00C-44E2-9FDD-2D4D5BBB04C3}"/>
    <cellStyle name="Normal 2 4 2 5 2 4 2 3" xfId="12354" xr:uid="{80E5AEA7-E12D-469C-A7ED-3A1B54850D03}"/>
    <cellStyle name="Normal 2 4 2 5 2 4 3" xfId="5927" xr:uid="{00000000-0005-0000-0000-0000930F0000}"/>
    <cellStyle name="Normal 2 4 2 5 2 4 3 2" xfId="14422" xr:uid="{C2546C88-446D-49F0-AF1C-67B70CA15357}"/>
    <cellStyle name="Normal 2 4 2 5 2 4 4" xfId="10209" xr:uid="{5598A861-9A00-4203-BB60-A809A86699D8}"/>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80" xr:uid="{71A0D3C3-3147-4920-B282-B55861EC246E}"/>
    <cellStyle name="Normal 2 4 2 5 2 5 2 3" xfId="12767" xr:uid="{86B20691-3812-4662-A58C-8A539554B46A}"/>
    <cellStyle name="Normal 2 4 2 5 2 5 3" xfId="6340" xr:uid="{00000000-0005-0000-0000-0000970F0000}"/>
    <cellStyle name="Normal 2 4 2 5 2 5 3 2" xfId="14835" xr:uid="{1D39FB5F-B92E-4CC8-8A66-91DF9411952B}"/>
    <cellStyle name="Normal 2 4 2 5 2 5 4" xfId="10622" xr:uid="{5D9F36D2-FA3D-48AA-9F1B-648E226BC46D}"/>
    <cellStyle name="Normal 2 4 2 5 2 6" xfId="2470" xr:uid="{00000000-0005-0000-0000-0000980F0000}"/>
    <cellStyle name="Normal 2 4 2 5 2 6 2" xfId="6753" xr:uid="{00000000-0005-0000-0000-0000990F0000}"/>
    <cellStyle name="Normal 2 4 2 5 2 6 2 2" xfId="15248" xr:uid="{DE25639F-C4E0-4032-A824-33AB843C5B1F}"/>
    <cellStyle name="Normal 2 4 2 5 2 6 3" xfId="11035" xr:uid="{1E9FB446-3038-4A26-A742-91AE319F9D67}"/>
    <cellStyle name="Normal 2 4 2 5 2 7" xfId="4687" xr:uid="{00000000-0005-0000-0000-00009A0F0000}"/>
    <cellStyle name="Normal 2 4 2 5 2 7 2" xfId="13183" xr:uid="{915F85B0-0CD5-4066-97A6-57AD673DA30A}"/>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740" xr:uid="{58D4A196-C1F2-4FF2-A574-2422CC2EB84E}"/>
    <cellStyle name="Normal 2 4 2 5 3 2 3" xfId="11527" xr:uid="{BD3BB404-120A-443C-893E-44FCBEBFB1B0}"/>
    <cellStyle name="Normal 2 4 2 5 3 3" xfId="5100" xr:uid="{00000000-0005-0000-0000-00009E0F0000}"/>
    <cellStyle name="Normal 2 4 2 5 3 3 2" xfId="13595" xr:uid="{21AA5BA0-0D1D-4D3D-A565-FACB9E60A0BD}"/>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53" xr:uid="{CE3B3599-FAFB-4429-B70B-ADE10F136610}"/>
    <cellStyle name="Normal 2 4 2 5 4 2 3" xfId="11940" xr:uid="{B3D7AB63-90F2-4384-A655-F9CEECCBECD0}"/>
    <cellStyle name="Normal 2 4 2 5 4 3" xfId="5513" xr:uid="{00000000-0005-0000-0000-0000A20F0000}"/>
    <cellStyle name="Normal 2 4 2 5 4 3 2" xfId="14008" xr:uid="{7C2BD60D-7DAA-4F89-AD4E-855F0F12CEC3}"/>
    <cellStyle name="Normal 2 4 2 5 4 4" xfId="9795" xr:uid="{EA1ACDC1-8E82-46F8-84E8-9BBDB3F013B0}"/>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66" xr:uid="{F0E78DBF-0808-451D-8EB3-D223161570E3}"/>
    <cellStyle name="Normal 2 4 2 5 5 2 3" xfId="12353" xr:uid="{945B3C15-672F-4BD4-8C94-2D1F7978F673}"/>
    <cellStyle name="Normal 2 4 2 5 5 3" xfId="5926" xr:uid="{00000000-0005-0000-0000-0000A60F0000}"/>
    <cellStyle name="Normal 2 4 2 5 5 3 2" xfId="14421" xr:uid="{7B8B1B08-7046-48B1-8E3C-ED28E5E50E7A}"/>
    <cellStyle name="Normal 2 4 2 5 5 4" xfId="10208" xr:uid="{720A7E77-85C6-4182-919B-BDB465DF487C}"/>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79" xr:uid="{15E82192-5097-4DD2-9896-6DB1155AB556}"/>
    <cellStyle name="Normal 2 4 2 5 6 2 3" xfId="12766" xr:uid="{65D94AE1-5282-46C4-B866-D48B8EE602E8}"/>
    <cellStyle name="Normal 2 4 2 5 6 3" xfId="6339" xr:uid="{00000000-0005-0000-0000-0000AA0F0000}"/>
    <cellStyle name="Normal 2 4 2 5 6 3 2" xfId="14834" xr:uid="{9AC98AB7-505E-4632-B921-445302C2EB19}"/>
    <cellStyle name="Normal 2 4 2 5 6 4" xfId="10621" xr:uid="{E38EC393-95E9-4276-B85F-C0D0CCBF5195}"/>
    <cellStyle name="Normal 2 4 2 5 7" xfId="2469" xr:uid="{00000000-0005-0000-0000-0000AB0F0000}"/>
    <cellStyle name="Normal 2 4 2 5 7 2" xfId="6752" xr:uid="{00000000-0005-0000-0000-0000AC0F0000}"/>
    <cellStyle name="Normal 2 4 2 5 7 2 2" xfId="15247" xr:uid="{19B21431-053C-49DA-8A4B-C7F50DA19BE7}"/>
    <cellStyle name="Normal 2 4 2 5 7 3" xfId="11034" xr:uid="{C5FE7A0E-6892-4FBF-8095-6A7425DB1C77}"/>
    <cellStyle name="Normal 2 4 2 5 8" xfId="4686" xr:uid="{00000000-0005-0000-0000-0000AD0F0000}"/>
    <cellStyle name="Normal 2 4 2 5 8 2" xfId="13182" xr:uid="{07A8A14D-7CC8-4A28-A8FC-77E4F8D1ADB2}"/>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742" xr:uid="{B04A97DC-8D56-451A-9660-DB3C09428900}"/>
    <cellStyle name="Normal 2 4 2 6 2 2 3" xfId="11529" xr:uid="{D4A8FC3D-ED9B-4111-812F-8D886AF74122}"/>
    <cellStyle name="Normal 2 4 2 6 2 3" xfId="5102" xr:uid="{00000000-0005-0000-0000-0000B20F0000}"/>
    <cellStyle name="Normal 2 4 2 6 2 3 2" xfId="13597" xr:uid="{0F50EC69-B17B-4659-819E-7D9079112AF9}"/>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55" xr:uid="{785E0B2A-7CED-4AA0-94A6-6405BBF7D0DB}"/>
    <cellStyle name="Normal 2 4 2 6 3 2 3" xfId="11942" xr:uid="{25A026D8-781B-424E-9692-523FBDBC5F5E}"/>
    <cellStyle name="Normal 2 4 2 6 3 3" xfId="5515" xr:uid="{00000000-0005-0000-0000-0000B60F0000}"/>
    <cellStyle name="Normal 2 4 2 6 3 3 2" xfId="14010" xr:uid="{0E3A5D70-4C5E-46EA-91B4-B88F74C5F7A2}"/>
    <cellStyle name="Normal 2 4 2 6 3 4" xfId="9797" xr:uid="{D36AB45C-5F8B-4BEE-9E1D-76E1D6F3C392}"/>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68" xr:uid="{2CB95D64-CB6C-4914-BEE8-C467923B6F1B}"/>
    <cellStyle name="Normal 2 4 2 6 4 2 3" xfId="12355" xr:uid="{38A78D29-6BBA-46E9-9805-CD98BB6F6572}"/>
    <cellStyle name="Normal 2 4 2 6 4 3" xfId="5928" xr:uid="{00000000-0005-0000-0000-0000BA0F0000}"/>
    <cellStyle name="Normal 2 4 2 6 4 3 2" xfId="14423" xr:uid="{F4F7C956-4B52-48D7-9661-8014A48B4D11}"/>
    <cellStyle name="Normal 2 4 2 6 4 4" xfId="10210" xr:uid="{EAEFA39E-FE83-46AB-8BFE-3F0FFD33A2BB}"/>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81" xr:uid="{62CF40B7-57B2-4B58-8698-D9BA531234A2}"/>
    <cellStyle name="Normal 2 4 2 6 5 2 3" xfId="12768" xr:uid="{C654F6DC-E6D3-427E-8803-3A599695FDC3}"/>
    <cellStyle name="Normal 2 4 2 6 5 3" xfId="6341" xr:uid="{00000000-0005-0000-0000-0000BE0F0000}"/>
    <cellStyle name="Normal 2 4 2 6 5 3 2" xfId="14836" xr:uid="{58D817E4-F00B-4ECA-BB4B-F6C1849DD8BA}"/>
    <cellStyle name="Normal 2 4 2 6 5 4" xfId="10623" xr:uid="{CFD84358-185C-4EC9-BE12-D55EBA1D6137}"/>
    <cellStyle name="Normal 2 4 2 6 6" xfId="2471" xr:uid="{00000000-0005-0000-0000-0000BF0F0000}"/>
    <cellStyle name="Normal 2 4 2 6 6 2" xfId="6754" xr:uid="{00000000-0005-0000-0000-0000C00F0000}"/>
    <cellStyle name="Normal 2 4 2 6 6 2 2" xfId="15249" xr:uid="{74DDE705-C15E-4ADF-A2E1-827F601ECEE2}"/>
    <cellStyle name="Normal 2 4 2 6 6 3" xfId="11036" xr:uid="{40B84553-3D56-4378-BE3A-9B7B7D9762D1}"/>
    <cellStyle name="Normal 2 4 2 6 7" xfId="4688" xr:uid="{00000000-0005-0000-0000-0000C10F0000}"/>
    <cellStyle name="Normal 2 4 2 6 7 2" xfId="13184" xr:uid="{AFD3F512-5170-43F1-8E54-26E9648CC4A2}"/>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2 2 2" xfId="15727" xr:uid="{82226173-AF53-4A0D-9E8B-5ECC87185BF9}"/>
    <cellStyle name="Normal 2 4 2 7 2 3" xfId="11514" xr:uid="{AFF123A1-0A04-40DD-AA54-8934EBF3AFC4}"/>
    <cellStyle name="Normal 2 4 2 7 3" xfId="5087" xr:uid="{00000000-0005-0000-0000-0000C50F0000}"/>
    <cellStyle name="Normal 2 4 2 7 3 2" xfId="13582" xr:uid="{D3106672-C753-4440-BB02-D4D6FD63B6E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2 2 2" xfId="16140" xr:uid="{F894834D-7FF2-4D96-AFB8-F8F516E00F73}"/>
    <cellStyle name="Normal 2 4 2 8 2 3" xfId="11927" xr:uid="{10B98FE7-7D14-4E26-B248-98D271F0F3CD}"/>
    <cellStyle name="Normal 2 4 2 8 3" xfId="5500" xr:uid="{00000000-0005-0000-0000-0000C90F0000}"/>
    <cellStyle name="Normal 2 4 2 8 3 2" xfId="13995" xr:uid="{93FF8B76-1BCA-43E3-9FE0-394DC3B025A4}"/>
    <cellStyle name="Normal 2 4 2 8 4" xfId="9782" xr:uid="{536CACAA-4D78-4708-BC4A-06EB7874BF66}"/>
    <cellStyle name="Normal 2 4 2 9" xfId="1606" xr:uid="{00000000-0005-0000-0000-0000CA0F0000}"/>
    <cellStyle name="Normal 2 4 2 9 2" xfId="3836" xr:uid="{00000000-0005-0000-0000-0000CB0F0000}"/>
    <cellStyle name="Normal 2 4 2 9 2 2" xfId="8058" xr:uid="{00000000-0005-0000-0000-0000CC0F0000}"/>
    <cellStyle name="Normal 2 4 2 9 2 2 2" xfId="16553" xr:uid="{7EA37ED9-B4AF-48A5-AC5C-ECFED53211AC}"/>
    <cellStyle name="Normal 2 4 2 9 2 3" xfId="12340" xr:uid="{C154D20A-56D9-4324-92A7-5F27C67936A9}"/>
    <cellStyle name="Normal 2 4 2 9 3" xfId="5913" xr:uid="{00000000-0005-0000-0000-0000CD0F0000}"/>
    <cellStyle name="Normal 2 4 2 9 3 2" xfId="14408" xr:uid="{3E5A0BB2-F4FA-4087-888C-352AA6F01CE8}"/>
    <cellStyle name="Normal 2 4 2 9 4" xfId="10195" xr:uid="{02AEC29D-C3AF-4C06-A2A7-29461CC30A86}"/>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46" xr:uid="{0FD18284-9C5A-486E-BD47-30E908AE1EB6}"/>
    <cellStyle name="Normal 2 4 3 3 2 2 2 2 3" xfId="11533" xr:uid="{3407634B-1FE6-4B52-B598-08A47A876D9A}"/>
    <cellStyle name="Normal 2 4 3 3 2 2 2 3" xfId="5106" xr:uid="{00000000-0005-0000-0000-0000D60F0000}"/>
    <cellStyle name="Normal 2 4 3 3 2 2 2 3 2" xfId="13601" xr:uid="{414A8EFB-923D-4D38-8504-544B947A7F4F}"/>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59" xr:uid="{6A5E8192-E80C-4BD5-8093-921B1D4160E1}"/>
    <cellStyle name="Normal 2 4 3 3 2 2 3 2 3" xfId="11946" xr:uid="{E13E22AB-A090-468A-A67A-4A01DB599F15}"/>
    <cellStyle name="Normal 2 4 3 3 2 2 3 3" xfId="5519" xr:uid="{00000000-0005-0000-0000-0000DA0F0000}"/>
    <cellStyle name="Normal 2 4 3 3 2 2 3 3 2" xfId="14014" xr:uid="{EEF8C295-9A6B-4088-BE34-3D5E426AFFFD}"/>
    <cellStyle name="Normal 2 4 3 3 2 2 3 4" xfId="9801" xr:uid="{96B7EBB9-A72F-48DF-BA87-F03A59A011B9}"/>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72" xr:uid="{7BC3E9E1-8B0B-4050-9381-1A849EEB9F4C}"/>
    <cellStyle name="Normal 2 4 3 3 2 2 4 2 3" xfId="12359" xr:uid="{C4A2C355-7125-4CFC-9816-74EBEB73477E}"/>
    <cellStyle name="Normal 2 4 3 3 2 2 4 3" xfId="5932" xr:uid="{00000000-0005-0000-0000-0000DE0F0000}"/>
    <cellStyle name="Normal 2 4 3 3 2 2 4 3 2" xfId="14427" xr:uid="{F0DB650A-9079-4AFC-A4E4-C8CE0CA6667F}"/>
    <cellStyle name="Normal 2 4 3 3 2 2 4 4" xfId="10214" xr:uid="{9C170672-8FA7-48B9-BA26-4FE82348E752}"/>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85" xr:uid="{9335F665-C115-4A53-8FBF-AAF9D9786EA3}"/>
    <cellStyle name="Normal 2 4 3 3 2 2 5 2 3" xfId="12772" xr:uid="{50EC54FF-4B7D-44E9-8FD1-ADE8AFDADCE9}"/>
    <cellStyle name="Normal 2 4 3 3 2 2 5 3" xfId="6345" xr:uid="{00000000-0005-0000-0000-0000E20F0000}"/>
    <cellStyle name="Normal 2 4 3 3 2 2 5 3 2" xfId="14840" xr:uid="{74EC042C-29D0-412A-AD74-E75EAD091D91}"/>
    <cellStyle name="Normal 2 4 3 3 2 2 5 4" xfId="10627" xr:uid="{C9044FB0-6725-42B0-BF4A-777504D1DE19}"/>
    <cellStyle name="Normal 2 4 3 3 2 2 6" xfId="2475" xr:uid="{00000000-0005-0000-0000-0000E30F0000}"/>
    <cellStyle name="Normal 2 4 3 3 2 2 6 2" xfId="6758" xr:uid="{00000000-0005-0000-0000-0000E40F0000}"/>
    <cellStyle name="Normal 2 4 3 3 2 2 6 2 2" xfId="15253" xr:uid="{F4BAEC3E-E43B-4F2E-B4BE-55E20841CBF0}"/>
    <cellStyle name="Normal 2 4 3 3 2 2 6 3" xfId="11040" xr:uid="{370FEE87-BD18-45CC-A1C4-8B12D08A00FE}"/>
    <cellStyle name="Normal 2 4 3 3 2 2 7" xfId="4692" xr:uid="{00000000-0005-0000-0000-0000E50F0000}"/>
    <cellStyle name="Normal 2 4 3 3 2 2 7 2" xfId="13188" xr:uid="{7A8563EF-703E-4400-808F-4C89B499CF48}"/>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45" xr:uid="{4627DF90-B739-436D-AB11-24805B590E86}"/>
    <cellStyle name="Normal 2 4 3 3 2 3 2 3" xfId="11532" xr:uid="{9A987E4D-FD15-49C4-9485-3172E5A04BDF}"/>
    <cellStyle name="Normal 2 4 3 3 2 3 3" xfId="5105" xr:uid="{00000000-0005-0000-0000-0000E90F0000}"/>
    <cellStyle name="Normal 2 4 3 3 2 3 3 2" xfId="13600" xr:uid="{759DB15A-9765-49BE-8987-292F0BCE26F6}"/>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58" xr:uid="{51904923-E35B-41F9-8542-38DE460464A8}"/>
    <cellStyle name="Normal 2 4 3 3 2 4 2 3" xfId="11945" xr:uid="{CA38C4F6-C668-486C-8299-33421D61CA18}"/>
    <cellStyle name="Normal 2 4 3 3 2 4 3" xfId="5518" xr:uid="{00000000-0005-0000-0000-0000ED0F0000}"/>
    <cellStyle name="Normal 2 4 3 3 2 4 3 2" xfId="14013" xr:uid="{69C53700-C58D-4A44-89DB-799518089085}"/>
    <cellStyle name="Normal 2 4 3 3 2 4 4" xfId="9800" xr:uid="{4EE726EB-AFB7-4F4C-8E55-324725E4763B}"/>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71" xr:uid="{4CC69647-49AE-466E-BF93-87C5281B8300}"/>
    <cellStyle name="Normal 2 4 3 3 2 5 2 3" xfId="12358" xr:uid="{1C4526ED-6E90-42E7-8B59-CAB61BA6E5F5}"/>
    <cellStyle name="Normal 2 4 3 3 2 5 3" xfId="5931" xr:uid="{00000000-0005-0000-0000-0000F10F0000}"/>
    <cellStyle name="Normal 2 4 3 3 2 5 3 2" xfId="14426" xr:uid="{095A4FB2-7583-4917-AE54-D7FC12E5D40C}"/>
    <cellStyle name="Normal 2 4 3 3 2 5 4" xfId="10213" xr:uid="{3642A206-1081-4C9C-A27F-3C81E2ACC0A3}"/>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84" xr:uid="{8E846C49-507E-4714-900B-F9647409FC02}"/>
    <cellStyle name="Normal 2 4 3 3 2 6 2 3" xfId="12771" xr:uid="{AC9658F3-2F6A-49E1-B0DB-5FFF12715041}"/>
    <cellStyle name="Normal 2 4 3 3 2 6 3" xfId="6344" xr:uid="{00000000-0005-0000-0000-0000F50F0000}"/>
    <cellStyle name="Normal 2 4 3 3 2 6 3 2" xfId="14839" xr:uid="{E261AD2E-A7C4-495D-B615-881261AA28F3}"/>
    <cellStyle name="Normal 2 4 3 3 2 6 4" xfId="10626" xr:uid="{A652C2C9-8745-4888-B541-D030929219F3}"/>
    <cellStyle name="Normal 2 4 3 3 2 7" xfId="2474" xr:uid="{00000000-0005-0000-0000-0000F60F0000}"/>
    <cellStyle name="Normal 2 4 3 3 2 7 2" xfId="6757" xr:uid="{00000000-0005-0000-0000-0000F70F0000}"/>
    <cellStyle name="Normal 2 4 3 3 2 7 2 2" xfId="15252" xr:uid="{F1970130-8F89-4D90-BB00-BDF5583F1895}"/>
    <cellStyle name="Normal 2 4 3 3 2 7 3" xfId="11039" xr:uid="{A9EC9569-05D6-44FB-8BF7-7A9B665FE114}"/>
    <cellStyle name="Normal 2 4 3 3 2 8" xfId="4691" xr:uid="{00000000-0005-0000-0000-0000F80F0000}"/>
    <cellStyle name="Normal 2 4 3 3 2 8 2" xfId="13187" xr:uid="{74CAA457-734E-4F6B-A3E5-050AB9A19FAE}"/>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47" xr:uid="{CFD4E229-E594-468C-9885-9130E3B8A5AC}"/>
    <cellStyle name="Normal 2 4 3 3 3 2 2 3" xfId="11534" xr:uid="{0F1AC232-265A-4494-B94C-663FD26DF5B5}"/>
    <cellStyle name="Normal 2 4 3 3 3 2 3" xfId="5107" xr:uid="{00000000-0005-0000-0000-0000FD0F0000}"/>
    <cellStyle name="Normal 2 4 3 3 3 2 3 2" xfId="13602" xr:uid="{176E603A-8AE3-4AED-9ED2-9DD38C788C96}"/>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60" xr:uid="{E762077D-EFA3-4F66-A4F6-B98C2DAB7695}"/>
    <cellStyle name="Normal 2 4 3 3 3 3 2 3" xfId="11947" xr:uid="{F0DC8040-57A6-4B78-963E-37A55C2D6CD3}"/>
    <cellStyle name="Normal 2 4 3 3 3 3 3" xfId="5520" xr:uid="{00000000-0005-0000-0000-000001100000}"/>
    <cellStyle name="Normal 2 4 3 3 3 3 3 2" xfId="14015" xr:uid="{634EAE75-F228-403D-B11A-6570BD227944}"/>
    <cellStyle name="Normal 2 4 3 3 3 3 4" xfId="9802" xr:uid="{745CFFA0-FF71-47D7-8B03-7DEF25BBCC62}"/>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73" xr:uid="{2FE40743-0C97-4CA0-B1D4-68A60E5EBB1B}"/>
    <cellStyle name="Normal 2 4 3 3 3 4 2 3" xfId="12360" xr:uid="{70FD2CE2-17A2-41AF-B41B-FA5FFCF2A618}"/>
    <cellStyle name="Normal 2 4 3 3 3 4 3" xfId="5933" xr:uid="{00000000-0005-0000-0000-000005100000}"/>
    <cellStyle name="Normal 2 4 3 3 3 4 3 2" xfId="14428" xr:uid="{66C11CAB-4C6C-4A80-B88F-2E7671D68C83}"/>
    <cellStyle name="Normal 2 4 3 3 3 4 4" xfId="10215" xr:uid="{206CC5BA-73CF-4D28-9F01-32BAE959D76F}"/>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86" xr:uid="{D354B0AB-9BEA-439B-B201-4C0464616229}"/>
    <cellStyle name="Normal 2 4 3 3 3 5 2 3" xfId="12773" xr:uid="{C2645FE2-F3EE-4D56-BB7C-0D8E4B8F6BA1}"/>
    <cellStyle name="Normal 2 4 3 3 3 5 3" xfId="6346" xr:uid="{00000000-0005-0000-0000-000009100000}"/>
    <cellStyle name="Normal 2 4 3 3 3 5 3 2" xfId="14841" xr:uid="{5B14A2E9-CBE1-4E0C-BFD3-236DEFD75D72}"/>
    <cellStyle name="Normal 2 4 3 3 3 5 4" xfId="10628" xr:uid="{C90EA7FE-108A-4142-84D8-DF462A862919}"/>
    <cellStyle name="Normal 2 4 3 3 3 6" xfId="2476" xr:uid="{00000000-0005-0000-0000-00000A100000}"/>
    <cellStyle name="Normal 2 4 3 3 3 6 2" xfId="6759" xr:uid="{00000000-0005-0000-0000-00000B100000}"/>
    <cellStyle name="Normal 2 4 3 3 3 6 2 2" xfId="15254" xr:uid="{ED815F43-F144-4A17-9FC0-3CB6C4D726CA}"/>
    <cellStyle name="Normal 2 4 3 3 3 6 3" xfId="11041" xr:uid="{17C2FD74-A151-43F5-8618-DB70A4C4160D}"/>
    <cellStyle name="Normal 2 4 3 3 3 7" xfId="4693" xr:uid="{00000000-0005-0000-0000-00000C100000}"/>
    <cellStyle name="Normal 2 4 3 3 3 7 2" xfId="13189" xr:uid="{1A8C0ACB-4189-4A21-BAA9-36603860343A}"/>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744" xr:uid="{1025891C-A690-4431-A5AB-E188F43F5314}"/>
    <cellStyle name="Normal 2 4 3 3 4 2 3" xfId="11531" xr:uid="{41564B03-13E0-4800-AAE8-03C92A620D8C}"/>
    <cellStyle name="Normal 2 4 3 3 4 3" xfId="5104" xr:uid="{00000000-0005-0000-0000-000010100000}"/>
    <cellStyle name="Normal 2 4 3 3 4 3 2" xfId="13599" xr:uid="{55125548-C044-4966-9419-43EFA1BB8ED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57" xr:uid="{24205D70-7D51-4A2E-B23C-7D1138BF9BD9}"/>
    <cellStyle name="Normal 2 4 3 3 5 2 3" xfId="11944" xr:uid="{E53FE851-F92D-491F-97BA-E46B86DFFF50}"/>
    <cellStyle name="Normal 2 4 3 3 5 3" xfId="5517" xr:uid="{00000000-0005-0000-0000-000014100000}"/>
    <cellStyle name="Normal 2 4 3 3 5 3 2" xfId="14012" xr:uid="{D22AB477-1928-4706-8FEE-E7FC67D3507B}"/>
    <cellStyle name="Normal 2 4 3 3 5 4" xfId="9799" xr:uid="{11DDADD0-7022-4A4C-BF4D-96AE38C3ED6C}"/>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70" xr:uid="{97AF8608-2898-41F8-A64D-3760522752EA}"/>
    <cellStyle name="Normal 2 4 3 3 6 2 3" xfId="12357" xr:uid="{998BDC6D-64C4-4305-BA39-656D0D5044AB}"/>
    <cellStyle name="Normal 2 4 3 3 6 3" xfId="5930" xr:uid="{00000000-0005-0000-0000-000018100000}"/>
    <cellStyle name="Normal 2 4 3 3 6 3 2" xfId="14425" xr:uid="{0ADDAD7B-0BFE-40DF-AF33-99E5CF9D069E}"/>
    <cellStyle name="Normal 2 4 3 3 6 4" xfId="10212" xr:uid="{9422147A-0283-47CB-B467-7FD81C019F13}"/>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83" xr:uid="{5062E42C-0AA3-407F-87B9-D57850D4D49D}"/>
    <cellStyle name="Normal 2 4 3 3 7 2 3" xfId="12770" xr:uid="{EFE6BCBA-2604-4A69-BC2B-9F988E7F708E}"/>
    <cellStyle name="Normal 2 4 3 3 7 3" xfId="6343" xr:uid="{00000000-0005-0000-0000-00001C100000}"/>
    <cellStyle name="Normal 2 4 3 3 7 3 2" xfId="14838" xr:uid="{3E8C36EA-AE35-4BD0-A1D0-C29AB70A5806}"/>
    <cellStyle name="Normal 2 4 3 3 7 4" xfId="10625" xr:uid="{67DD325C-5302-40A2-982D-5626D1B262B8}"/>
    <cellStyle name="Normal 2 4 3 3 8" xfId="2473" xr:uid="{00000000-0005-0000-0000-00001D100000}"/>
    <cellStyle name="Normal 2 4 3 3 8 2" xfId="6756" xr:uid="{00000000-0005-0000-0000-00001E100000}"/>
    <cellStyle name="Normal 2 4 3 3 8 2 2" xfId="15251" xr:uid="{F5A636CA-2BD4-4A08-B660-3BACE58F3F25}"/>
    <cellStyle name="Normal 2 4 3 3 8 3" xfId="11038" xr:uid="{6DC733A8-3C7A-466B-AAF7-6B12E7F9A9FC}"/>
    <cellStyle name="Normal 2 4 3 3 9" xfId="4690" xr:uid="{00000000-0005-0000-0000-00001F100000}"/>
    <cellStyle name="Normal 2 4 3 3 9 2" xfId="13186" xr:uid="{32D5CDC9-D689-4968-A9EC-E740F3281F1B}"/>
    <cellStyle name="Normal 2 4 3 4" xfId="787" xr:uid="{00000000-0005-0000-0000-000020100000}"/>
    <cellStyle name="Normal 2 4 3 4 2" xfId="3026" xr:uid="{00000000-0005-0000-0000-000021100000}"/>
    <cellStyle name="Normal 2 4 3 4 2 2" xfId="7248" xr:uid="{00000000-0005-0000-0000-000022100000}"/>
    <cellStyle name="Normal 2 4 3 4 2 2 2" xfId="15743" xr:uid="{8AB35B06-BBF4-4796-BB59-600A5B5BA5B8}"/>
    <cellStyle name="Normal 2 4 3 4 2 3" xfId="11530" xr:uid="{B0E18FB1-C7C2-4B91-9A2F-7CFF848D644C}"/>
    <cellStyle name="Normal 2 4 3 4 3" xfId="5103" xr:uid="{00000000-0005-0000-0000-000023100000}"/>
    <cellStyle name="Normal 2 4 3 4 3 2" xfId="13598" xr:uid="{04CBDF69-B7ED-418B-9859-B6FCDAE877BD}"/>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2 2 2" xfId="16156" xr:uid="{CD27A296-A73B-425F-80A5-62B3D28B0AF3}"/>
    <cellStyle name="Normal 2 4 3 5 2 3" xfId="11943" xr:uid="{3D35AED3-0FEF-4F4A-B365-304B9CFB0A96}"/>
    <cellStyle name="Normal 2 4 3 5 3" xfId="5516" xr:uid="{00000000-0005-0000-0000-000027100000}"/>
    <cellStyle name="Normal 2 4 3 5 3 2" xfId="14011" xr:uid="{F50E4AD0-C661-465B-829D-B3EF2A87BF7D}"/>
    <cellStyle name="Normal 2 4 3 5 4" xfId="9798" xr:uid="{D608762C-51A1-4B93-A093-4A2DE4BEBE47}"/>
    <cellStyle name="Normal 2 4 3 6" xfId="1622" xr:uid="{00000000-0005-0000-0000-000028100000}"/>
    <cellStyle name="Normal 2 4 3 6 2" xfId="3852" xr:uid="{00000000-0005-0000-0000-000029100000}"/>
    <cellStyle name="Normal 2 4 3 6 2 2" xfId="8074" xr:uid="{00000000-0005-0000-0000-00002A100000}"/>
    <cellStyle name="Normal 2 4 3 6 2 2 2" xfId="16569" xr:uid="{3DEAEC0C-BF72-462A-8CB3-94069BC53212}"/>
    <cellStyle name="Normal 2 4 3 6 2 3" xfId="12356" xr:uid="{69CF66F3-7949-4D52-8BD6-5210441904D5}"/>
    <cellStyle name="Normal 2 4 3 6 3" xfId="5929" xr:uid="{00000000-0005-0000-0000-00002B100000}"/>
    <cellStyle name="Normal 2 4 3 6 3 2" xfId="14424" xr:uid="{FF43D554-D6B4-4F6D-8B9A-262D0687F510}"/>
    <cellStyle name="Normal 2 4 3 6 4" xfId="10211" xr:uid="{03FC65D3-634E-4EEB-BD5E-ED86BBC53347}"/>
    <cellStyle name="Normal 2 4 3 7" xfId="2036" xr:uid="{00000000-0005-0000-0000-00002C100000}"/>
    <cellStyle name="Normal 2 4 3 7 2" xfId="4265" xr:uid="{00000000-0005-0000-0000-00002D100000}"/>
    <cellStyle name="Normal 2 4 3 7 2 2" xfId="8487" xr:uid="{00000000-0005-0000-0000-00002E100000}"/>
    <cellStyle name="Normal 2 4 3 7 2 2 2" xfId="16982" xr:uid="{587E5AD9-5C56-4A51-B21C-CA6A10133ADC}"/>
    <cellStyle name="Normal 2 4 3 7 2 3" xfId="12769" xr:uid="{3BC6FEA0-BA5C-4F2C-B139-596146B25DBC}"/>
    <cellStyle name="Normal 2 4 3 7 3" xfId="6342" xr:uid="{00000000-0005-0000-0000-00002F100000}"/>
    <cellStyle name="Normal 2 4 3 7 3 2" xfId="14837" xr:uid="{978E0B93-53DA-4786-98E5-D2E5A26522B5}"/>
    <cellStyle name="Normal 2 4 3 7 4" xfId="10624" xr:uid="{B1740F1E-D573-41CD-8927-1CEC3328E651}"/>
    <cellStyle name="Normal 2 4 3 8" xfId="2472" xr:uid="{00000000-0005-0000-0000-000030100000}"/>
    <cellStyle name="Normal 2 4 3 8 2" xfId="6755" xr:uid="{00000000-0005-0000-0000-000031100000}"/>
    <cellStyle name="Normal 2 4 3 8 2 2" xfId="15250" xr:uid="{9999CADB-D5D9-4BE4-9B32-6A16B9BFAAA5}"/>
    <cellStyle name="Normal 2 4 3 8 3" xfId="11037" xr:uid="{B202556A-2B42-499D-9BC1-6401D9DA2834}"/>
    <cellStyle name="Normal 2 4 3 9" xfId="4689" xr:uid="{00000000-0005-0000-0000-000032100000}"/>
    <cellStyle name="Normal 2 4 3 9 2" xfId="13185" xr:uid="{D50C9FA6-2DF8-46D7-88C4-234E20242C05}"/>
    <cellStyle name="Normal 2 4 4" xfId="302" xr:uid="{00000000-0005-0000-0000-000033100000}"/>
    <cellStyle name="Normal 2 4 5" xfId="303" xr:uid="{00000000-0005-0000-0000-000034100000}"/>
    <cellStyle name="Normal 2 4 5 10" xfId="4694" xr:uid="{00000000-0005-0000-0000-000035100000}"/>
    <cellStyle name="Normal 2 4 5 10 2" xfId="13190" xr:uid="{96502502-30E8-44C2-8D20-451BC852D3A8}"/>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51" xr:uid="{BA04FFE7-4D8F-4FFA-9FA4-DC6BF98987E6}"/>
    <cellStyle name="Normal 2 4 5 2 2 2 2 2 3" xfId="11538" xr:uid="{2F1FDE20-0729-4042-8E62-807A88513F6A}"/>
    <cellStyle name="Normal 2 4 5 2 2 2 2 3" xfId="5111" xr:uid="{00000000-0005-0000-0000-00003C100000}"/>
    <cellStyle name="Normal 2 4 5 2 2 2 2 3 2" xfId="13606" xr:uid="{2F62CB05-42D2-47BB-AE73-B1161C476397}"/>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64" xr:uid="{F9642669-DA88-4382-A786-A555A77186A2}"/>
    <cellStyle name="Normal 2 4 5 2 2 2 3 2 3" xfId="11951" xr:uid="{8D39B80C-18D6-4D9C-8E85-77876A6CC61D}"/>
    <cellStyle name="Normal 2 4 5 2 2 2 3 3" xfId="5524" xr:uid="{00000000-0005-0000-0000-000040100000}"/>
    <cellStyle name="Normal 2 4 5 2 2 2 3 3 2" xfId="14019" xr:uid="{7BD57D5B-F320-41BE-A7AC-1EA7CDDC3FDE}"/>
    <cellStyle name="Normal 2 4 5 2 2 2 3 4" xfId="9806" xr:uid="{22D24DCB-8B94-41F8-99F1-D527DD65C85D}"/>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77" xr:uid="{5A0B147F-4B38-4AE0-8B80-61EA9A9A768F}"/>
    <cellStyle name="Normal 2 4 5 2 2 2 4 2 3" xfId="12364" xr:uid="{45A0EE51-E790-419B-A4F5-BADC6F3E8A09}"/>
    <cellStyle name="Normal 2 4 5 2 2 2 4 3" xfId="5937" xr:uid="{00000000-0005-0000-0000-000044100000}"/>
    <cellStyle name="Normal 2 4 5 2 2 2 4 3 2" xfId="14432" xr:uid="{7A620A5D-7B8E-4B5F-9AFE-3240BC799189}"/>
    <cellStyle name="Normal 2 4 5 2 2 2 4 4" xfId="10219" xr:uid="{11DCC0FC-4066-45C5-BD21-FB0DCAAEB525}"/>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90" xr:uid="{75D9574B-A763-4ED9-BC89-29696778A1D9}"/>
    <cellStyle name="Normal 2 4 5 2 2 2 5 2 3" xfId="12777" xr:uid="{093C9E31-5733-41A1-8230-650D3B9FF442}"/>
    <cellStyle name="Normal 2 4 5 2 2 2 5 3" xfId="6350" xr:uid="{00000000-0005-0000-0000-000048100000}"/>
    <cellStyle name="Normal 2 4 5 2 2 2 5 3 2" xfId="14845" xr:uid="{3E94986C-35A2-48D1-954B-2D24B0BFBED9}"/>
    <cellStyle name="Normal 2 4 5 2 2 2 5 4" xfId="10632" xr:uid="{38AEF7FE-A1E5-4059-9702-F0E0C7509FEF}"/>
    <cellStyle name="Normal 2 4 5 2 2 2 6" xfId="2480" xr:uid="{00000000-0005-0000-0000-000049100000}"/>
    <cellStyle name="Normal 2 4 5 2 2 2 6 2" xfId="6763" xr:uid="{00000000-0005-0000-0000-00004A100000}"/>
    <cellStyle name="Normal 2 4 5 2 2 2 6 2 2" xfId="15258" xr:uid="{354810EF-DBDF-498B-9427-A7253005A108}"/>
    <cellStyle name="Normal 2 4 5 2 2 2 6 3" xfId="11045" xr:uid="{D11CB22A-8F6D-43E2-AD18-812910FE2FDE}"/>
    <cellStyle name="Normal 2 4 5 2 2 2 7" xfId="4697" xr:uid="{00000000-0005-0000-0000-00004B100000}"/>
    <cellStyle name="Normal 2 4 5 2 2 2 7 2" xfId="13193" xr:uid="{F543149D-87D8-48D7-88B0-0464C54989A2}"/>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50" xr:uid="{56E4E3EC-4536-4A44-9B50-5D6D6483D6E1}"/>
    <cellStyle name="Normal 2 4 5 2 2 3 2 3" xfId="11537" xr:uid="{851AB4D1-5F91-4FDB-A797-6662ADC4BB6E}"/>
    <cellStyle name="Normal 2 4 5 2 2 3 3" xfId="5110" xr:uid="{00000000-0005-0000-0000-00004F100000}"/>
    <cellStyle name="Normal 2 4 5 2 2 3 3 2" xfId="13605" xr:uid="{C79E6A2C-E218-4D7F-8564-C7771BB98A78}"/>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63" xr:uid="{27E722E3-4625-482B-A3CA-AC0C43E36689}"/>
    <cellStyle name="Normal 2 4 5 2 2 4 2 3" xfId="11950" xr:uid="{81FC6B40-B0DC-4CE3-96E3-DD4F115A5097}"/>
    <cellStyle name="Normal 2 4 5 2 2 4 3" xfId="5523" xr:uid="{00000000-0005-0000-0000-000053100000}"/>
    <cellStyle name="Normal 2 4 5 2 2 4 3 2" xfId="14018" xr:uid="{DB8FE95D-085C-49F2-A742-5EDA89C38A3D}"/>
    <cellStyle name="Normal 2 4 5 2 2 4 4" xfId="9805" xr:uid="{1F1151A4-0A79-41CA-9B02-F9D7772B728D}"/>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76" xr:uid="{6B862333-1895-4488-9735-0ED371C64DDF}"/>
    <cellStyle name="Normal 2 4 5 2 2 5 2 3" xfId="12363" xr:uid="{E4BEDAE7-91B4-4515-898F-E3F3AC148B45}"/>
    <cellStyle name="Normal 2 4 5 2 2 5 3" xfId="5936" xr:uid="{00000000-0005-0000-0000-000057100000}"/>
    <cellStyle name="Normal 2 4 5 2 2 5 3 2" xfId="14431" xr:uid="{4181EEAF-FD44-4504-AB8D-A8605DDF76D7}"/>
    <cellStyle name="Normal 2 4 5 2 2 5 4" xfId="10218" xr:uid="{B68D7B59-A5B5-45BA-B7D1-CA9E8748275C}"/>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89" xr:uid="{CAC12623-78F9-4100-A097-0E121DCD2EB7}"/>
    <cellStyle name="Normal 2 4 5 2 2 6 2 3" xfId="12776" xr:uid="{CB1042E8-231D-4B85-9596-219FA0F73226}"/>
    <cellStyle name="Normal 2 4 5 2 2 6 3" xfId="6349" xr:uid="{00000000-0005-0000-0000-00005B100000}"/>
    <cellStyle name="Normal 2 4 5 2 2 6 3 2" xfId="14844" xr:uid="{6FF01BD8-816F-40C5-8CE0-F38751C1AAD5}"/>
    <cellStyle name="Normal 2 4 5 2 2 6 4" xfId="10631" xr:uid="{83B2F293-298D-45E2-945F-E0C3D675857F}"/>
    <cellStyle name="Normal 2 4 5 2 2 7" xfId="2479" xr:uid="{00000000-0005-0000-0000-00005C100000}"/>
    <cellStyle name="Normal 2 4 5 2 2 7 2" xfId="6762" xr:uid="{00000000-0005-0000-0000-00005D100000}"/>
    <cellStyle name="Normal 2 4 5 2 2 7 2 2" xfId="15257" xr:uid="{D3016B3B-30DC-46C5-9119-32C0ADA58D9A}"/>
    <cellStyle name="Normal 2 4 5 2 2 7 3" xfId="11044" xr:uid="{A9D13773-34F2-41FF-89E6-8E2E8FD9E9E4}"/>
    <cellStyle name="Normal 2 4 5 2 2 8" xfId="4696" xr:uid="{00000000-0005-0000-0000-00005E100000}"/>
    <cellStyle name="Normal 2 4 5 2 2 8 2" xfId="13192" xr:uid="{2B64443B-9546-4AFF-8CC7-81630EDF6634}"/>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52" xr:uid="{3FDB49D9-CB5E-4317-ADD4-0C68A31F71CD}"/>
    <cellStyle name="Normal 2 4 5 2 3 2 2 3" xfId="11539" xr:uid="{91CBC29F-5D88-4FCC-927E-F490A52A44F4}"/>
    <cellStyle name="Normal 2 4 5 2 3 2 3" xfId="5112" xr:uid="{00000000-0005-0000-0000-000063100000}"/>
    <cellStyle name="Normal 2 4 5 2 3 2 3 2" xfId="13607" xr:uid="{83A17E28-C6F4-4CDB-B881-9154794BED9A}"/>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65" xr:uid="{9DC49150-2656-4539-B88D-4B0C0C9D02E5}"/>
    <cellStyle name="Normal 2 4 5 2 3 3 2 3" xfId="11952" xr:uid="{1D7BD4BD-D1F9-4066-8E20-AC9371A86A8C}"/>
    <cellStyle name="Normal 2 4 5 2 3 3 3" xfId="5525" xr:uid="{00000000-0005-0000-0000-000067100000}"/>
    <cellStyle name="Normal 2 4 5 2 3 3 3 2" xfId="14020" xr:uid="{BB908850-EB08-415D-864F-756077A96326}"/>
    <cellStyle name="Normal 2 4 5 2 3 3 4" xfId="9807" xr:uid="{11AD1CAB-6C6E-40F1-95D0-676162A73CE2}"/>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78" xr:uid="{9C7A2E5E-6605-41B8-9E17-A541612D8C0D}"/>
    <cellStyle name="Normal 2 4 5 2 3 4 2 3" xfId="12365" xr:uid="{E0187065-D3A1-49D2-B58E-405A1958F969}"/>
    <cellStyle name="Normal 2 4 5 2 3 4 3" xfId="5938" xr:uid="{00000000-0005-0000-0000-00006B100000}"/>
    <cellStyle name="Normal 2 4 5 2 3 4 3 2" xfId="14433" xr:uid="{9CA075DD-C307-4B8E-92AB-3D2E0F3DF351}"/>
    <cellStyle name="Normal 2 4 5 2 3 4 4" xfId="10220" xr:uid="{30D83DA3-A473-4E60-ACEF-BC7588048A24}"/>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91" xr:uid="{4A87A804-7493-41C0-B05F-CF1C36EE1B4A}"/>
    <cellStyle name="Normal 2 4 5 2 3 5 2 3" xfId="12778" xr:uid="{C0BE19F9-BF31-406F-8556-09B643183AE6}"/>
    <cellStyle name="Normal 2 4 5 2 3 5 3" xfId="6351" xr:uid="{00000000-0005-0000-0000-00006F100000}"/>
    <cellStyle name="Normal 2 4 5 2 3 5 3 2" xfId="14846" xr:uid="{4ABEAB01-AD6A-4536-A9FC-6B2D4A30A5D2}"/>
    <cellStyle name="Normal 2 4 5 2 3 5 4" xfId="10633" xr:uid="{5F31AD1F-5A08-43F0-8986-EF76BFE6D6E7}"/>
    <cellStyle name="Normal 2 4 5 2 3 6" xfId="2481" xr:uid="{00000000-0005-0000-0000-000070100000}"/>
    <cellStyle name="Normal 2 4 5 2 3 6 2" xfId="6764" xr:uid="{00000000-0005-0000-0000-000071100000}"/>
    <cellStyle name="Normal 2 4 5 2 3 6 2 2" xfId="15259" xr:uid="{9DB06D71-20CB-4EF9-AA2D-0FD48E9C76CE}"/>
    <cellStyle name="Normal 2 4 5 2 3 6 3" xfId="11046" xr:uid="{1FA2F361-0E3A-4392-A52A-C4009365E527}"/>
    <cellStyle name="Normal 2 4 5 2 3 7" xfId="4698" xr:uid="{00000000-0005-0000-0000-000072100000}"/>
    <cellStyle name="Normal 2 4 5 2 3 7 2" xfId="13194" xr:uid="{482AF504-7476-4B5A-BB5C-A97A08E0A2A4}"/>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49" xr:uid="{9A26DA59-B502-4402-A57F-6BF3B7312F66}"/>
    <cellStyle name="Normal 2 4 5 2 4 2 3" xfId="11536" xr:uid="{CB08C54A-4185-453F-B448-3992530416FC}"/>
    <cellStyle name="Normal 2 4 5 2 4 3" xfId="5109" xr:uid="{00000000-0005-0000-0000-000076100000}"/>
    <cellStyle name="Normal 2 4 5 2 4 3 2" xfId="13604" xr:uid="{B9BE5EA0-6C98-4314-8F1E-7F1FE0C6DD26}"/>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62" xr:uid="{0B76107D-62A9-47BD-91E9-485922362401}"/>
    <cellStyle name="Normal 2 4 5 2 5 2 3" xfId="11949" xr:uid="{2AD1F1DE-0917-43EB-95F7-62DF08730404}"/>
    <cellStyle name="Normal 2 4 5 2 5 3" xfId="5522" xr:uid="{00000000-0005-0000-0000-00007A100000}"/>
    <cellStyle name="Normal 2 4 5 2 5 3 2" xfId="14017" xr:uid="{37FC42BC-5E52-4B41-A438-34431B9F2B92}"/>
    <cellStyle name="Normal 2 4 5 2 5 4" xfId="9804" xr:uid="{97BE4C92-8AF1-4EB8-8AC3-C8927525434B}"/>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75" xr:uid="{51F25DD8-7598-4100-BB09-3F099F32F0E7}"/>
    <cellStyle name="Normal 2 4 5 2 6 2 3" xfId="12362" xr:uid="{505C609B-C6AE-436A-BDC8-D059E6A503F1}"/>
    <cellStyle name="Normal 2 4 5 2 6 3" xfId="5935" xr:uid="{00000000-0005-0000-0000-00007E100000}"/>
    <cellStyle name="Normal 2 4 5 2 6 3 2" xfId="14430" xr:uid="{CD995BE1-EC7F-4F86-9D72-3C15809EA3FC}"/>
    <cellStyle name="Normal 2 4 5 2 6 4" xfId="10217" xr:uid="{8FA2045B-A7E6-4DAA-BE60-13B7E3630D3D}"/>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88" xr:uid="{1761C20B-9A15-41E3-A860-DC9C6044D8BD}"/>
    <cellStyle name="Normal 2 4 5 2 7 2 3" xfId="12775" xr:uid="{FB3D2900-7C07-4D46-9692-09A4B9E7AC3E}"/>
    <cellStyle name="Normal 2 4 5 2 7 3" xfId="6348" xr:uid="{00000000-0005-0000-0000-000082100000}"/>
    <cellStyle name="Normal 2 4 5 2 7 3 2" xfId="14843" xr:uid="{B415CDCB-DA87-4264-89E2-15F68FF2F13B}"/>
    <cellStyle name="Normal 2 4 5 2 7 4" xfId="10630" xr:uid="{943CD5D0-AAE4-4221-BD81-CF066C384F43}"/>
    <cellStyle name="Normal 2 4 5 2 8" xfId="2478" xr:uid="{00000000-0005-0000-0000-000083100000}"/>
    <cellStyle name="Normal 2 4 5 2 8 2" xfId="6761" xr:uid="{00000000-0005-0000-0000-000084100000}"/>
    <cellStyle name="Normal 2 4 5 2 8 2 2" xfId="15256" xr:uid="{7D7D1E9F-E778-487A-8822-3426F5C88398}"/>
    <cellStyle name="Normal 2 4 5 2 8 3" xfId="11043" xr:uid="{8BD82C22-D46F-43FB-811A-EF59E2185F04}"/>
    <cellStyle name="Normal 2 4 5 2 9" xfId="4695" xr:uid="{00000000-0005-0000-0000-000085100000}"/>
    <cellStyle name="Normal 2 4 5 2 9 2" xfId="13191" xr:uid="{7A03AE72-5322-42EC-BAC7-104AC8DC8DAC}"/>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54" xr:uid="{2754409F-7C4E-42E1-852E-ABABF9EB49F4}"/>
    <cellStyle name="Normal 2 4 5 3 2 2 2 3" xfId="11541" xr:uid="{92A38B06-3D6B-4975-968B-B6F5AC2B3BF9}"/>
    <cellStyle name="Normal 2 4 5 3 2 2 3" xfId="5114" xr:uid="{00000000-0005-0000-0000-00008B100000}"/>
    <cellStyle name="Normal 2 4 5 3 2 2 3 2" xfId="13609" xr:uid="{12D44E7D-81A0-455B-A190-CA27B7B40525}"/>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67" xr:uid="{1D461661-7549-4D4C-8925-3F440EF95CC4}"/>
    <cellStyle name="Normal 2 4 5 3 2 3 2 3" xfId="11954" xr:uid="{3880BF37-0FF4-4FA0-98B6-A68C54D1C8A2}"/>
    <cellStyle name="Normal 2 4 5 3 2 3 3" xfId="5527" xr:uid="{00000000-0005-0000-0000-00008F100000}"/>
    <cellStyle name="Normal 2 4 5 3 2 3 3 2" xfId="14022" xr:uid="{C772AC83-DCBC-4230-A1CB-DDD9EE9D24D7}"/>
    <cellStyle name="Normal 2 4 5 3 2 3 4" xfId="9809" xr:uid="{DC34D4AA-C70A-4B51-B285-07A48D4122BC}"/>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80" xr:uid="{DC2465B7-3177-439A-A249-299B9D0C95C9}"/>
    <cellStyle name="Normal 2 4 5 3 2 4 2 3" xfId="12367" xr:uid="{DEA7A939-61EF-4FF3-B22A-3BF81E9E8971}"/>
    <cellStyle name="Normal 2 4 5 3 2 4 3" xfId="5940" xr:uid="{00000000-0005-0000-0000-000093100000}"/>
    <cellStyle name="Normal 2 4 5 3 2 4 3 2" xfId="14435" xr:uid="{36BD463C-9429-4497-84E9-77BE5D54C46A}"/>
    <cellStyle name="Normal 2 4 5 3 2 4 4" xfId="10222" xr:uid="{C8FFCB20-4146-4BDF-BDA7-9DC5038B5CE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93" xr:uid="{6AD35A3B-4D14-4591-A027-A90ABDDE331D}"/>
    <cellStyle name="Normal 2 4 5 3 2 5 2 3" xfId="12780" xr:uid="{D12085CB-E102-427D-8902-95897535E8FD}"/>
    <cellStyle name="Normal 2 4 5 3 2 5 3" xfId="6353" xr:uid="{00000000-0005-0000-0000-000097100000}"/>
    <cellStyle name="Normal 2 4 5 3 2 5 3 2" xfId="14848" xr:uid="{5C41FBC3-5742-4CE2-9B71-B2930A862DFE}"/>
    <cellStyle name="Normal 2 4 5 3 2 5 4" xfId="10635" xr:uid="{67787703-789F-46AD-8CCA-767AC64E3929}"/>
    <cellStyle name="Normal 2 4 5 3 2 6" xfId="2483" xr:uid="{00000000-0005-0000-0000-000098100000}"/>
    <cellStyle name="Normal 2 4 5 3 2 6 2" xfId="6766" xr:uid="{00000000-0005-0000-0000-000099100000}"/>
    <cellStyle name="Normal 2 4 5 3 2 6 2 2" xfId="15261" xr:uid="{21221EA5-3694-4D5B-ACF2-092B1B3B259F}"/>
    <cellStyle name="Normal 2 4 5 3 2 6 3" xfId="11048" xr:uid="{E5B292A1-4D18-48D1-A190-A91BEC45F727}"/>
    <cellStyle name="Normal 2 4 5 3 2 7" xfId="4700" xr:uid="{00000000-0005-0000-0000-00009A100000}"/>
    <cellStyle name="Normal 2 4 5 3 2 7 2" xfId="13196" xr:uid="{A945FD21-F5E1-45EE-AC9F-9E71C599B657}"/>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53" xr:uid="{90FF9658-BDAD-46AE-A8B5-793D546EB759}"/>
    <cellStyle name="Normal 2 4 5 3 3 2 3" xfId="11540" xr:uid="{50A4EBB7-E4A2-4A9F-BAF8-B04A9746D45A}"/>
    <cellStyle name="Normal 2 4 5 3 3 3" xfId="5113" xr:uid="{00000000-0005-0000-0000-00009E100000}"/>
    <cellStyle name="Normal 2 4 5 3 3 3 2" xfId="13608" xr:uid="{7350233C-8607-4905-BEE7-1FD77EAE44EB}"/>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66" xr:uid="{688ADE49-AC61-4AC0-A880-06C61A4B9BC0}"/>
    <cellStyle name="Normal 2 4 5 3 4 2 3" xfId="11953" xr:uid="{E1DE6D54-A96C-41EC-A07F-AA5496CB617D}"/>
    <cellStyle name="Normal 2 4 5 3 4 3" xfId="5526" xr:uid="{00000000-0005-0000-0000-0000A2100000}"/>
    <cellStyle name="Normal 2 4 5 3 4 3 2" xfId="14021" xr:uid="{9199631A-E5D7-464C-9605-D3FB3F32131B}"/>
    <cellStyle name="Normal 2 4 5 3 4 4" xfId="9808" xr:uid="{C6A137D1-FDEE-44ED-AA9C-8CE71B1713C9}"/>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79" xr:uid="{A0B59989-87EC-4ABA-82B6-0DA9F1A207BF}"/>
    <cellStyle name="Normal 2 4 5 3 5 2 3" xfId="12366" xr:uid="{2F9999C9-169E-440A-8283-A01ACE733DF0}"/>
    <cellStyle name="Normal 2 4 5 3 5 3" xfId="5939" xr:uid="{00000000-0005-0000-0000-0000A6100000}"/>
    <cellStyle name="Normal 2 4 5 3 5 3 2" xfId="14434" xr:uid="{2EAFD244-19E1-46D5-AA58-45C4361085F5}"/>
    <cellStyle name="Normal 2 4 5 3 5 4" xfId="10221" xr:uid="{B1420CDC-9B48-415A-8413-F3A9A644AFFD}"/>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92" xr:uid="{2EAB330F-3E08-47E5-8011-14CF78DD3EBD}"/>
    <cellStyle name="Normal 2 4 5 3 6 2 3" xfId="12779" xr:uid="{B785E212-F2F7-44C6-8D29-87D270A5C08B}"/>
    <cellStyle name="Normal 2 4 5 3 6 3" xfId="6352" xr:uid="{00000000-0005-0000-0000-0000AA100000}"/>
    <cellStyle name="Normal 2 4 5 3 6 3 2" xfId="14847" xr:uid="{CFBA06DF-31CA-4A91-99D5-5A6179811D1A}"/>
    <cellStyle name="Normal 2 4 5 3 6 4" xfId="10634" xr:uid="{3D792A7F-DEE5-4D0A-8F89-4AB1CFFD2648}"/>
    <cellStyle name="Normal 2 4 5 3 7" xfId="2482" xr:uid="{00000000-0005-0000-0000-0000AB100000}"/>
    <cellStyle name="Normal 2 4 5 3 7 2" xfId="6765" xr:uid="{00000000-0005-0000-0000-0000AC100000}"/>
    <cellStyle name="Normal 2 4 5 3 7 2 2" xfId="15260" xr:uid="{CDD69B6B-0CE3-4A10-AE54-B31BF03ECF2B}"/>
    <cellStyle name="Normal 2 4 5 3 7 3" xfId="11047" xr:uid="{39682F60-84BB-4CCD-918A-AF4FFB2338B1}"/>
    <cellStyle name="Normal 2 4 5 3 8" xfId="4699" xr:uid="{00000000-0005-0000-0000-0000AD100000}"/>
    <cellStyle name="Normal 2 4 5 3 8 2" xfId="13195" xr:uid="{DC9392AE-6687-42F0-BE22-8A08A7E4734C}"/>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55" xr:uid="{FDBDEA74-06A4-40D5-A404-56F0D4BD1D26}"/>
    <cellStyle name="Normal 2 4 5 4 2 2 3" xfId="11542" xr:uid="{923CB817-639D-4DAA-8472-11F7C03B3653}"/>
    <cellStyle name="Normal 2 4 5 4 2 3" xfId="5115" xr:uid="{00000000-0005-0000-0000-0000B2100000}"/>
    <cellStyle name="Normal 2 4 5 4 2 3 2" xfId="13610" xr:uid="{AEAAACFA-3F73-4585-82C2-07359017020C}"/>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68" xr:uid="{8ECAEE8F-B3FC-4E26-BF58-3599753633EB}"/>
    <cellStyle name="Normal 2 4 5 4 3 2 3" xfId="11955" xr:uid="{E59DE7BB-203F-4B4E-BEC4-16D9317934FA}"/>
    <cellStyle name="Normal 2 4 5 4 3 3" xfId="5528" xr:uid="{00000000-0005-0000-0000-0000B6100000}"/>
    <cellStyle name="Normal 2 4 5 4 3 3 2" xfId="14023" xr:uid="{C2F20885-5BF9-4BDA-9924-43D5E9D42D77}"/>
    <cellStyle name="Normal 2 4 5 4 3 4" xfId="9810" xr:uid="{209A8876-DFD6-4D94-AA1B-D3AC77737508}"/>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81" xr:uid="{8A7F61FD-545D-4B66-BB66-FBB686AF964B}"/>
    <cellStyle name="Normal 2 4 5 4 4 2 3" xfId="12368" xr:uid="{4170A6AB-5651-45A7-A3B6-15D156850F7C}"/>
    <cellStyle name="Normal 2 4 5 4 4 3" xfId="5941" xr:uid="{00000000-0005-0000-0000-0000BA100000}"/>
    <cellStyle name="Normal 2 4 5 4 4 3 2" xfId="14436" xr:uid="{B0A756FB-7910-4609-8AFE-F2EDDCF5D100}"/>
    <cellStyle name="Normal 2 4 5 4 4 4" xfId="10223" xr:uid="{B7303162-F698-4C82-8A39-8FA2D3CE0368}"/>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94" xr:uid="{4BA8F3A1-5D06-4ECC-AEF6-684724C32405}"/>
    <cellStyle name="Normal 2 4 5 4 5 2 3" xfId="12781" xr:uid="{9E86B6DE-2FE4-4305-BE0B-1C5242952BD5}"/>
    <cellStyle name="Normal 2 4 5 4 5 3" xfId="6354" xr:uid="{00000000-0005-0000-0000-0000BE100000}"/>
    <cellStyle name="Normal 2 4 5 4 5 3 2" xfId="14849" xr:uid="{14E7F6B3-7E7B-45E8-B1A1-9B5E8057F81F}"/>
    <cellStyle name="Normal 2 4 5 4 5 4" xfId="10636" xr:uid="{4D4B47A0-3B66-4B2E-A446-BA07D1524148}"/>
    <cellStyle name="Normal 2 4 5 4 6" xfId="2484" xr:uid="{00000000-0005-0000-0000-0000BF100000}"/>
    <cellStyle name="Normal 2 4 5 4 6 2" xfId="6767" xr:uid="{00000000-0005-0000-0000-0000C0100000}"/>
    <cellStyle name="Normal 2 4 5 4 6 2 2" xfId="15262" xr:uid="{65D107DA-9CA1-4E51-BB90-22A14F423C51}"/>
    <cellStyle name="Normal 2 4 5 4 6 3" xfId="11049" xr:uid="{2FAD7764-1293-40E1-A163-ADD5E8CF0537}"/>
    <cellStyle name="Normal 2 4 5 4 7" xfId="4701" xr:uid="{00000000-0005-0000-0000-0000C1100000}"/>
    <cellStyle name="Normal 2 4 5 4 7 2" xfId="13197" xr:uid="{04E0AA72-865C-49EC-A721-EF074D04E2EA}"/>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2 2 2" xfId="15748" xr:uid="{C6F0D1AF-989E-4F91-86B4-1343D65BDCDC}"/>
    <cellStyle name="Normal 2 4 5 5 2 3" xfId="11535" xr:uid="{CA8ECD75-E5C6-40C5-971E-5D4353628301}"/>
    <cellStyle name="Normal 2 4 5 5 3" xfId="5108" xr:uid="{00000000-0005-0000-0000-0000C5100000}"/>
    <cellStyle name="Normal 2 4 5 5 3 2" xfId="13603" xr:uid="{CA67DEE8-2556-4978-9AD9-E8CF80D6AC2D}"/>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2 2 2" xfId="16161" xr:uid="{E1B551C5-50D8-4986-8206-852A61CA0A7D}"/>
    <cellStyle name="Normal 2 4 5 6 2 3" xfId="11948" xr:uid="{A4BE5B17-A839-45DD-9B23-F038CD7108D8}"/>
    <cellStyle name="Normal 2 4 5 6 3" xfId="5521" xr:uid="{00000000-0005-0000-0000-0000C9100000}"/>
    <cellStyle name="Normal 2 4 5 6 3 2" xfId="14016" xr:uid="{B11AB856-D721-43E1-8FFF-D09A8E2D6C13}"/>
    <cellStyle name="Normal 2 4 5 6 4" xfId="9803" xr:uid="{5DE4522D-FF15-4732-872D-B4937FB906A7}"/>
    <cellStyle name="Normal 2 4 5 7" xfId="1627" xr:uid="{00000000-0005-0000-0000-0000CA100000}"/>
    <cellStyle name="Normal 2 4 5 7 2" xfId="3857" xr:uid="{00000000-0005-0000-0000-0000CB100000}"/>
    <cellStyle name="Normal 2 4 5 7 2 2" xfId="8079" xr:uid="{00000000-0005-0000-0000-0000CC100000}"/>
    <cellStyle name="Normal 2 4 5 7 2 2 2" xfId="16574" xr:uid="{C96452CD-357C-4328-ADD6-31071F1238C8}"/>
    <cellStyle name="Normal 2 4 5 7 2 3" xfId="12361" xr:uid="{CE076687-7395-4ED7-A414-81665F606932}"/>
    <cellStyle name="Normal 2 4 5 7 3" xfId="5934" xr:uid="{00000000-0005-0000-0000-0000CD100000}"/>
    <cellStyle name="Normal 2 4 5 7 3 2" xfId="14429" xr:uid="{99EB802F-698C-43DA-84D0-248A5FD1A318}"/>
    <cellStyle name="Normal 2 4 5 7 4" xfId="10216" xr:uid="{D9D71E71-27C5-4C92-AA07-845DA4A0C81E}"/>
    <cellStyle name="Normal 2 4 5 8" xfId="2041" xr:uid="{00000000-0005-0000-0000-0000CE100000}"/>
    <cellStyle name="Normal 2 4 5 8 2" xfId="4270" xr:uid="{00000000-0005-0000-0000-0000CF100000}"/>
    <cellStyle name="Normal 2 4 5 8 2 2" xfId="8492" xr:uid="{00000000-0005-0000-0000-0000D0100000}"/>
    <cellStyle name="Normal 2 4 5 8 2 2 2" xfId="16987" xr:uid="{D571538F-BFF9-4E61-9638-6AF4975A5FE4}"/>
    <cellStyle name="Normal 2 4 5 8 2 3" xfId="12774" xr:uid="{DE79EB03-0836-4EC0-9404-81EEC2C23D68}"/>
    <cellStyle name="Normal 2 4 5 8 3" xfId="6347" xr:uid="{00000000-0005-0000-0000-0000D1100000}"/>
    <cellStyle name="Normal 2 4 5 8 3 2" xfId="14842" xr:uid="{0AFDCB85-5520-4E2A-90B5-8A8047C308A5}"/>
    <cellStyle name="Normal 2 4 5 8 4" xfId="10629" xr:uid="{C62D36C9-B5E1-4A29-BDC2-E647ADD0BBAC}"/>
    <cellStyle name="Normal 2 4 5 9" xfId="2477" xr:uid="{00000000-0005-0000-0000-0000D2100000}"/>
    <cellStyle name="Normal 2 4 5 9 2" xfId="6760" xr:uid="{00000000-0005-0000-0000-0000D3100000}"/>
    <cellStyle name="Normal 2 4 5 9 2 2" xfId="15255" xr:uid="{D0C6C325-9473-466E-8A5F-71EE2E0FF01F}"/>
    <cellStyle name="Normal 2 4 5 9 3" xfId="11042" xr:uid="{B4B79E2F-42C8-49D6-A64F-A4821065F38E}"/>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57" xr:uid="{DF80F561-45CB-43AF-9664-9262A393ED16}"/>
    <cellStyle name="Normal 2 4 7 2 2 2 3" xfId="11544" xr:uid="{BC96F4E6-72F9-454C-B827-4C0CEFD9EF49}"/>
    <cellStyle name="Normal 2 4 7 2 2 3" xfId="5117" xr:uid="{00000000-0005-0000-0000-0000DA100000}"/>
    <cellStyle name="Normal 2 4 7 2 2 3 2" xfId="13612" xr:uid="{4828977F-A6F3-4074-9520-98E05083823B}"/>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70" xr:uid="{A553FA2E-D5B4-4600-9F35-F46FCE6CA184}"/>
    <cellStyle name="Normal 2 4 7 2 3 2 3" xfId="11957" xr:uid="{53C4B52C-FC0F-4260-BBC6-DC6CD2BC8155}"/>
    <cellStyle name="Normal 2 4 7 2 3 3" xfId="5530" xr:uid="{00000000-0005-0000-0000-0000DE100000}"/>
    <cellStyle name="Normal 2 4 7 2 3 3 2" xfId="14025" xr:uid="{164F1D9B-6D26-4DC0-8127-1FFFDFAAE7AC}"/>
    <cellStyle name="Normal 2 4 7 2 3 4" xfId="9812" xr:uid="{7B5B4E62-637A-49D2-BB99-6679BF561947}"/>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83" xr:uid="{96C9E8E7-259E-480F-873E-B8DA7917DB09}"/>
    <cellStyle name="Normal 2 4 7 2 4 2 3" xfId="12370" xr:uid="{6CF997DD-C702-4F56-84E6-8BEBFA215EE5}"/>
    <cellStyle name="Normal 2 4 7 2 4 3" xfId="5943" xr:uid="{00000000-0005-0000-0000-0000E2100000}"/>
    <cellStyle name="Normal 2 4 7 2 4 3 2" xfId="14438" xr:uid="{F92126CC-5923-49D1-B31A-582FECF64477}"/>
    <cellStyle name="Normal 2 4 7 2 4 4" xfId="10225" xr:uid="{D10A0D96-0975-4A53-A636-577DB373C352}"/>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96" xr:uid="{3D263CFA-75E7-4E64-A9FA-8C16DC744BC9}"/>
    <cellStyle name="Normal 2 4 7 2 5 2 3" xfId="12783" xr:uid="{8017705F-3097-4490-8908-1AAA28AEB758}"/>
    <cellStyle name="Normal 2 4 7 2 5 3" xfId="6356" xr:uid="{00000000-0005-0000-0000-0000E6100000}"/>
    <cellStyle name="Normal 2 4 7 2 5 3 2" xfId="14851" xr:uid="{FDB7225C-10FA-46B3-895B-781910F8AEAB}"/>
    <cellStyle name="Normal 2 4 7 2 5 4" xfId="10638" xr:uid="{815AD000-A3F2-4454-A1C4-1F6D04577C9F}"/>
    <cellStyle name="Normal 2 4 7 2 6" xfId="2486" xr:uid="{00000000-0005-0000-0000-0000E7100000}"/>
    <cellStyle name="Normal 2 4 7 2 6 2" xfId="6769" xr:uid="{00000000-0005-0000-0000-0000E8100000}"/>
    <cellStyle name="Normal 2 4 7 2 6 2 2" xfId="15264" xr:uid="{7FA0C401-F6A5-48B2-9083-DC1815F8A308}"/>
    <cellStyle name="Normal 2 4 7 2 6 3" xfId="11051" xr:uid="{375C6D84-A2C0-4013-BC17-94C1745CC50B}"/>
    <cellStyle name="Normal 2 4 7 2 7" xfId="4703" xr:uid="{00000000-0005-0000-0000-0000E9100000}"/>
    <cellStyle name="Normal 2 4 7 2 7 2" xfId="13199" xr:uid="{523DB830-AA00-4B64-BCEC-7EC2DD727B07}"/>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2 2 2" xfId="15756" xr:uid="{E0BB7E4B-431F-4E28-98DE-2898305AC268}"/>
    <cellStyle name="Normal 2 4 7 3 2 3" xfId="11543" xr:uid="{AFCDE968-9FAC-4A66-8817-9D043F73DB03}"/>
    <cellStyle name="Normal 2 4 7 3 3" xfId="5116" xr:uid="{00000000-0005-0000-0000-0000ED100000}"/>
    <cellStyle name="Normal 2 4 7 3 3 2" xfId="13611" xr:uid="{C6148E94-FA91-4738-89C8-F7021DFFBED9}"/>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2 2 2" xfId="16169" xr:uid="{8DBC0126-8D03-454C-95A2-E4F2FFE475A2}"/>
    <cellStyle name="Normal 2 4 7 4 2 3" xfId="11956" xr:uid="{6BCEEBAD-6819-4C30-BAE1-553CFA74B244}"/>
    <cellStyle name="Normal 2 4 7 4 3" xfId="5529" xr:uid="{00000000-0005-0000-0000-0000F1100000}"/>
    <cellStyle name="Normal 2 4 7 4 3 2" xfId="14024" xr:uid="{6D40B6D2-1D99-4D26-84A8-47B190AA202A}"/>
    <cellStyle name="Normal 2 4 7 4 4" xfId="9811" xr:uid="{DB34829C-545C-4ACF-BA65-DD9B000D4B74}"/>
    <cellStyle name="Normal 2 4 7 5" xfId="1635" xr:uid="{00000000-0005-0000-0000-0000F2100000}"/>
    <cellStyle name="Normal 2 4 7 5 2" xfId="3865" xr:uid="{00000000-0005-0000-0000-0000F3100000}"/>
    <cellStyle name="Normal 2 4 7 5 2 2" xfId="8087" xr:uid="{00000000-0005-0000-0000-0000F4100000}"/>
    <cellStyle name="Normal 2 4 7 5 2 2 2" xfId="16582" xr:uid="{26AAEDB6-6C51-41CD-A672-4F3C470D482B}"/>
    <cellStyle name="Normal 2 4 7 5 2 3" xfId="12369" xr:uid="{3157DBF9-42B7-4066-8473-ADC5C6946534}"/>
    <cellStyle name="Normal 2 4 7 5 3" xfId="5942" xr:uid="{00000000-0005-0000-0000-0000F5100000}"/>
    <cellStyle name="Normal 2 4 7 5 3 2" xfId="14437" xr:uid="{3C9CAE83-2FCB-4C9C-A22C-E03BB7ABABC8}"/>
    <cellStyle name="Normal 2 4 7 5 4" xfId="10224" xr:uid="{E39BC490-60D4-424B-9997-626B90C313AD}"/>
    <cellStyle name="Normal 2 4 7 6" xfId="2049" xr:uid="{00000000-0005-0000-0000-0000F6100000}"/>
    <cellStyle name="Normal 2 4 7 6 2" xfId="4278" xr:uid="{00000000-0005-0000-0000-0000F7100000}"/>
    <cellStyle name="Normal 2 4 7 6 2 2" xfId="8500" xr:uid="{00000000-0005-0000-0000-0000F8100000}"/>
    <cellStyle name="Normal 2 4 7 6 2 2 2" xfId="16995" xr:uid="{6EF87C47-F517-4A23-8964-DBB23EEEB54B}"/>
    <cellStyle name="Normal 2 4 7 6 2 3" xfId="12782" xr:uid="{BC16E2A3-45EE-4178-BC4D-D9D5A106F330}"/>
    <cellStyle name="Normal 2 4 7 6 3" xfId="6355" xr:uid="{00000000-0005-0000-0000-0000F9100000}"/>
    <cellStyle name="Normal 2 4 7 6 3 2" xfId="14850" xr:uid="{18E70F46-3C73-4187-AAAA-6A02419EB332}"/>
    <cellStyle name="Normal 2 4 7 6 4" xfId="10637" xr:uid="{9B4EB457-EFB1-4EE0-B3F1-8E361D55678C}"/>
    <cellStyle name="Normal 2 4 7 7" xfId="2485" xr:uid="{00000000-0005-0000-0000-0000FA100000}"/>
    <cellStyle name="Normal 2 4 7 7 2" xfId="6768" xr:uid="{00000000-0005-0000-0000-0000FB100000}"/>
    <cellStyle name="Normal 2 4 7 7 2 2" xfId="15263" xr:uid="{F71F8138-750C-4190-B0A8-7E221FA4EB69}"/>
    <cellStyle name="Normal 2 4 7 7 3" xfId="11050" xr:uid="{052D9099-8FB7-42E9-8192-A8D029213C58}"/>
    <cellStyle name="Normal 2 4 7 8" xfId="4702" xr:uid="{00000000-0005-0000-0000-0000FC100000}"/>
    <cellStyle name="Normal 2 4 7 8 2" xfId="13198" xr:uid="{D896D567-DBDB-49B2-8D39-103FEB65885B}"/>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58" xr:uid="{E5E97ED0-97AF-4343-BA3B-C85122D8E768}"/>
    <cellStyle name="Normal 2 4 8 2 2 3" xfId="11545" xr:uid="{CD80DCFA-34AB-4913-A9D5-5553D5755FFE}"/>
    <cellStyle name="Normal 2 4 8 2 3" xfId="5118" xr:uid="{00000000-0005-0000-0000-000001110000}"/>
    <cellStyle name="Normal 2 4 8 2 3 2" xfId="13613" xr:uid="{7964E16A-F4BB-4838-9741-57DF48B8E317}"/>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2 2 2" xfId="16171" xr:uid="{B0454FA8-1BED-4060-AA71-279E9A7012E4}"/>
    <cellStyle name="Normal 2 4 8 3 2 3" xfId="11958" xr:uid="{5EEE0CCA-97A4-48C3-B298-D119BFAFCE4A}"/>
    <cellStyle name="Normal 2 4 8 3 3" xfId="5531" xr:uid="{00000000-0005-0000-0000-000005110000}"/>
    <cellStyle name="Normal 2 4 8 3 3 2" xfId="14026" xr:uid="{421E6D8B-3B2C-4154-81C9-1C87CBB2FFB0}"/>
    <cellStyle name="Normal 2 4 8 3 4" xfId="9813" xr:uid="{6732B7D3-FE08-4DBB-B802-FED382D46357}"/>
    <cellStyle name="Normal 2 4 8 4" xfId="1637" xr:uid="{00000000-0005-0000-0000-000006110000}"/>
    <cellStyle name="Normal 2 4 8 4 2" xfId="3867" xr:uid="{00000000-0005-0000-0000-000007110000}"/>
    <cellStyle name="Normal 2 4 8 4 2 2" xfId="8089" xr:uid="{00000000-0005-0000-0000-000008110000}"/>
    <cellStyle name="Normal 2 4 8 4 2 2 2" xfId="16584" xr:uid="{2E5C40CA-B15A-48AD-AEDF-B39A9D6ED238}"/>
    <cellStyle name="Normal 2 4 8 4 2 3" xfId="12371" xr:uid="{CB471F0A-112A-4B27-951A-A44ECE9356B0}"/>
    <cellStyle name="Normal 2 4 8 4 3" xfId="5944" xr:uid="{00000000-0005-0000-0000-000009110000}"/>
    <cellStyle name="Normal 2 4 8 4 3 2" xfId="14439" xr:uid="{F417C791-7B9C-49FC-988D-DA43EE83C75F}"/>
    <cellStyle name="Normal 2 4 8 4 4" xfId="10226" xr:uid="{BDBA276B-363F-4CD0-B987-0756D14904A6}"/>
    <cellStyle name="Normal 2 4 8 5" xfId="2051" xr:uid="{00000000-0005-0000-0000-00000A110000}"/>
    <cellStyle name="Normal 2 4 8 5 2" xfId="4280" xr:uid="{00000000-0005-0000-0000-00000B110000}"/>
    <cellStyle name="Normal 2 4 8 5 2 2" xfId="8502" xr:uid="{00000000-0005-0000-0000-00000C110000}"/>
    <cellStyle name="Normal 2 4 8 5 2 2 2" xfId="16997" xr:uid="{1969CB96-A64C-4627-9582-8BE4A773D858}"/>
    <cellStyle name="Normal 2 4 8 5 2 3" xfId="12784" xr:uid="{5B42DAC6-8960-4E3B-B2E6-EA8FB2B51C28}"/>
    <cellStyle name="Normal 2 4 8 5 3" xfId="6357" xr:uid="{00000000-0005-0000-0000-00000D110000}"/>
    <cellStyle name="Normal 2 4 8 5 3 2" xfId="14852" xr:uid="{F02AC774-F919-492E-97DE-CA6D15247686}"/>
    <cellStyle name="Normal 2 4 8 5 4" xfId="10639" xr:uid="{43347775-194F-47AE-B438-0373365EFC87}"/>
    <cellStyle name="Normal 2 4 8 6" xfId="2487" xr:uid="{00000000-0005-0000-0000-00000E110000}"/>
    <cellStyle name="Normal 2 4 8 6 2" xfId="6770" xr:uid="{00000000-0005-0000-0000-00000F110000}"/>
    <cellStyle name="Normal 2 4 8 6 2 2" xfId="15265" xr:uid="{5182E66E-A488-4BEE-963C-B98090D8329A}"/>
    <cellStyle name="Normal 2 4 8 6 3" xfId="11052" xr:uid="{3B577F34-ED5E-485E-9803-F842B2C0CB03}"/>
    <cellStyle name="Normal 2 4 8 7" xfId="4704" xr:uid="{00000000-0005-0000-0000-000010110000}"/>
    <cellStyle name="Normal 2 4 8 7 2" xfId="13200" xr:uid="{BC8411DF-DF85-4741-A0E5-F185511507E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10 2" xfId="13201" xr:uid="{05433943-D8A6-4B18-9022-776098E551A3}"/>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62" xr:uid="{941B17C7-6EC3-40E5-A1F6-C83C69AA9490}"/>
    <cellStyle name="Normal 2 5 4 2 2 2 2 3" xfId="11549" xr:uid="{D06F0544-4984-4C4B-BA91-82F1D0DE8677}"/>
    <cellStyle name="Normal 2 5 4 2 2 2 3" xfId="5122" xr:uid="{00000000-0005-0000-0000-00001B110000}"/>
    <cellStyle name="Normal 2 5 4 2 2 2 3 2" xfId="13617" xr:uid="{4D212BB7-433B-46BB-A968-0348A687EFD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75" xr:uid="{250ED459-DABF-4433-898D-C0B4204719CB}"/>
    <cellStyle name="Normal 2 5 4 2 2 3 2 3" xfId="11962" xr:uid="{A0D552FD-192A-4132-8DDA-8B5D166471D4}"/>
    <cellStyle name="Normal 2 5 4 2 2 3 3" xfId="5535" xr:uid="{00000000-0005-0000-0000-00001F110000}"/>
    <cellStyle name="Normal 2 5 4 2 2 3 3 2" xfId="14030" xr:uid="{D459272B-7E25-45B5-B3B0-E485E3991762}"/>
    <cellStyle name="Normal 2 5 4 2 2 3 4" xfId="9817" xr:uid="{18ACB274-AC06-49FD-ABF8-791862B27AA1}"/>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88" xr:uid="{EC965BBF-C59D-4A2B-92DB-6247E861B4F3}"/>
    <cellStyle name="Normal 2 5 4 2 2 4 2 3" xfId="12375" xr:uid="{E9B3119E-AB3D-4225-9950-1B11D32ACEDC}"/>
    <cellStyle name="Normal 2 5 4 2 2 4 3" xfId="5948" xr:uid="{00000000-0005-0000-0000-000023110000}"/>
    <cellStyle name="Normal 2 5 4 2 2 4 3 2" xfId="14443" xr:uid="{EFE8DF27-7C79-4F88-94D9-5527873301EF}"/>
    <cellStyle name="Normal 2 5 4 2 2 4 4" xfId="10230" xr:uid="{E0C6E6F9-1AFD-49A0-99D1-0023A6C0FCE2}"/>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001" xr:uid="{EB1A50A5-0180-45EF-8B0A-3C2ED943E693}"/>
    <cellStyle name="Normal 2 5 4 2 2 5 2 3" xfId="12788" xr:uid="{A1A23985-AAB0-4262-B571-4532F6DE1742}"/>
    <cellStyle name="Normal 2 5 4 2 2 5 3" xfId="6361" xr:uid="{00000000-0005-0000-0000-000027110000}"/>
    <cellStyle name="Normal 2 5 4 2 2 5 3 2" xfId="14856" xr:uid="{21232F92-4937-4F2D-850A-C0D097C804CE}"/>
    <cellStyle name="Normal 2 5 4 2 2 5 4" xfId="10643" xr:uid="{A515BA68-4F9E-40A1-9816-DEC7EC02ED63}"/>
    <cellStyle name="Normal 2 5 4 2 2 6" xfId="2491" xr:uid="{00000000-0005-0000-0000-000028110000}"/>
    <cellStyle name="Normal 2 5 4 2 2 6 2" xfId="6774" xr:uid="{00000000-0005-0000-0000-000029110000}"/>
    <cellStyle name="Normal 2 5 4 2 2 6 2 2" xfId="15269" xr:uid="{352B9B08-09CE-4233-8203-7BEEDFDDDFB9}"/>
    <cellStyle name="Normal 2 5 4 2 2 6 3" xfId="11056" xr:uid="{FD4E3491-A1DE-4DDA-B5F8-71E6610F4754}"/>
    <cellStyle name="Normal 2 5 4 2 2 7" xfId="4708" xr:uid="{00000000-0005-0000-0000-00002A110000}"/>
    <cellStyle name="Normal 2 5 4 2 2 7 2" xfId="13204" xr:uid="{333F8F92-C8E3-4464-90DF-E35A83CD8497}"/>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61" xr:uid="{A7474C8F-D4A5-4FC4-9783-C62EE52C7E43}"/>
    <cellStyle name="Normal 2 5 4 2 3 2 3" xfId="11548" xr:uid="{4B5B415B-5F5A-4337-B90D-2FE6411F5186}"/>
    <cellStyle name="Normal 2 5 4 2 3 3" xfId="5121" xr:uid="{00000000-0005-0000-0000-00002E110000}"/>
    <cellStyle name="Normal 2 5 4 2 3 3 2" xfId="13616" xr:uid="{431D6866-3514-4DB1-A3B3-EB482899E738}"/>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74" xr:uid="{00039C44-778E-401F-840C-ABBE2D98A21C}"/>
    <cellStyle name="Normal 2 5 4 2 4 2 3" xfId="11961" xr:uid="{4461028C-1F2F-480D-AB76-6E1E71ED2AE1}"/>
    <cellStyle name="Normal 2 5 4 2 4 3" xfId="5534" xr:uid="{00000000-0005-0000-0000-000032110000}"/>
    <cellStyle name="Normal 2 5 4 2 4 3 2" xfId="14029" xr:uid="{ABA3086C-092A-491F-A65E-67B86A83EBE0}"/>
    <cellStyle name="Normal 2 5 4 2 4 4" xfId="9816" xr:uid="{07903C01-B785-4E6D-9515-FD506E77B3C0}"/>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87" xr:uid="{E001C6DA-11AD-41DD-97B8-2B75DF57C75D}"/>
    <cellStyle name="Normal 2 5 4 2 5 2 3" xfId="12374" xr:uid="{711911E9-517F-4EEA-9CFA-87A234BFA1EB}"/>
    <cellStyle name="Normal 2 5 4 2 5 3" xfId="5947" xr:uid="{00000000-0005-0000-0000-000036110000}"/>
    <cellStyle name="Normal 2 5 4 2 5 3 2" xfId="14442" xr:uid="{FC4E8323-8164-4E90-BDA8-7DCD11EA9D3B}"/>
    <cellStyle name="Normal 2 5 4 2 5 4" xfId="10229" xr:uid="{2004FC59-F2E5-4599-8086-C66B42B7AA56}"/>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000" xr:uid="{DEDA75F6-B7C6-415D-BD34-0E9B1116D7B7}"/>
    <cellStyle name="Normal 2 5 4 2 6 2 3" xfId="12787" xr:uid="{54563249-CD69-4812-9129-6CED43EF2B1A}"/>
    <cellStyle name="Normal 2 5 4 2 6 3" xfId="6360" xr:uid="{00000000-0005-0000-0000-00003A110000}"/>
    <cellStyle name="Normal 2 5 4 2 6 3 2" xfId="14855" xr:uid="{8F4C1F10-37BD-4515-B682-292D4BE2DDE6}"/>
    <cellStyle name="Normal 2 5 4 2 6 4" xfId="10642" xr:uid="{1B364EC6-82B1-4C78-9762-D24523E89826}"/>
    <cellStyle name="Normal 2 5 4 2 7" xfId="2490" xr:uid="{00000000-0005-0000-0000-00003B110000}"/>
    <cellStyle name="Normal 2 5 4 2 7 2" xfId="6773" xr:uid="{00000000-0005-0000-0000-00003C110000}"/>
    <cellStyle name="Normal 2 5 4 2 7 2 2" xfId="15268" xr:uid="{2E893D41-087B-41C4-9E04-9BC7B2EEC776}"/>
    <cellStyle name="Normal 2 5 4 2 7 3" xfId="11055" xr:uid="{0DB56A42-2B7A-4479-8DA4-8CF5DF5E2F25}"/>
    <cellStyle name="Normal 2 5 4 2 8" xfId="4707" xr:uid="{00000000-0005-0000-0000-00003D110000}"/>
    <cellStyle name="Normal 2 5 4 2 8 2" xfId="13203" xr:uid="{10A0C75E-F979-4E5C-85C0-780A5A252AAF}"/>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63" xr:uid="{67A52A2C-E127-4C9E-B2BB-CF5BEE5ECBC9}"/>
    <cellStyle name="Normal 2 5 4 3 2 2 3" xfId="11550" xr:uid="{00A3A30B-C921-4FD6-8AA9-FB44DABA6143}"/>
    <cellStyle name="Normal 2 5 4 3 2 3" xfId="5123" xr:uid="{00000000-0005-0000-0000-000042110000}"/>
    <cellStyle name="Normal 2 5 4 3 2 3 2" xfId="13618" xr:uid="{0D1A83AA-2554-4C57-BA12-4B1F97575D4E}"/>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76" xr:uid="{35CDF4BA-C7EC-492F-A00B-98F8622A5C0C}"/>
    <cellStyle name="Normal 2 5 4 3 3 2 3" xfId="11963" xr:uid="{2F20693B-FD53-47F6-ABBB-9765A12CEDA5}"/>
    <cellStyle name="Normal 2 5 4 3 3 3" xfId="5536" xr:uid="{00000000-0005-0000-0000-000046110000}"/>
    <cellStyle name="Normal 2 5 4 3 3 3 2" xfId="14031" xr:uid="{2D575ED9-DF83-4844-A5BE-BC12B0D9EF57}"/>
    <cellStyle name="Normal 2 5 4 3 3 4" xfId="9818" xr:uid="{4996F0E1-B9BE-4B20-8A95-9F4FD6DF3588}"/>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89" xr:uid="{99DE34A8-2005-42A5-9309-79838410F495}"/>
    <cellStyle name="Normal 2 5 4 3 4 2 3" xfId="12376" xr:uid="{5344AC5D-DB68-4138-BD69-A7E4424ACA50}"/>
    <cellStyle name="Normal 2 5 4 3 4 3" xfId="5949" xr:uid="{00000000-0005-0000-0000-00004A110000}"/>
    <cellStyle name="Normal 2 5 4 3 4 3 2" xfId="14444" xr:uid="{683DB0FD-256A-4894-83AC-C0D63E1F3295}"/>
    <cellStyle name="Normal 2 5 4 3 4 4" xfId="10231" xr:uid="{D9190439-F8E7-4C67-8B3F-FE83263176C9}"/>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002" xr:uid="{4EC7B008-4C24-42E8-B888-B836DEE7D499}"/>
    <cellStyle name="Normal 2 5 4 3 5 2 3" xfId="12789" xr:uid="{056E6E2B-C6AE-4CE1-A042-C70EA0DE1123}"/>
    <cellStyle name="Normal 2 5 4 3 5 3" xfId="6362" xr:uid="{00000000-0005-0000-0000-00004E110000}"/>
    <cellStyle name="Normal 2 5 4 3 5 3 2" xfId="14857" xr:uid="{3F66C8E2-A916-4C62-9708-829BB5F11F7F}"/>
    <cellStyle name="Normal 2 5 4 3 5 4" xfId="10644" xr:uid="{CEBBBB60-44EE-4BA5-A87B-8AC1B8A2D5EE}"/>
    <cellStyle name="Normal 2 5 4 3 6" xfId="2492" xr:uid="{00000000-0005-0000-0000-00004F110000}"/>
    <cellStyle name="Normal 2 5 4 3 6 2" xfId="6775" xr:uid="{00000000-0005-0000-0000-000050110000}"/>
    <cellStyle name="Normal 2 5 4 3 6 2 2" xfId="15270" xr:uid="{B1B435D2-2981-4C73-A645-724F78191F01}"/>
    <cellStyle name="Normal 2 5 4 3 6 3" xfId="11057" xr:uid="{14509EAB-0A84-4CA1-A80A-4A9271692704}"/>
    <cellStyle name="Normal 2 5 4 3 7" xfId="4709" xr:uid="{00000000-0005-0000-0000-000051110000}"/>
    <cellStyle name="Normal 2 5 4 3 7 2" xfId="13205" xr:uid="{95A0157F-E7A7-4A49-A235-50673162533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2 2 2" xfId="15760" xr:uid="{E2B07B25-BDDA-4607-AC61-C2FA481D193B}"/>
    <cellStyle name="Normal 2 5 4 4 2 3" xfId="11547" xr:uid="{D8755BBF-4BE5-4B72-9DAF-E1FF5CBDD783}"/>
    <cellStyle name="Normal 2 5 4 4 3" xfId="5120" xr:uid="{00000000-0005-0000-0000-000055110000}"/>
    <cellStyle name="Normal 2 5 4 4 3 2" xfId="13615" xr:uid="{D2C5B595-E3A5-4D30-9DF1-336E0E42359C}"/>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2 2 2" xfId="16173" xr:uid="{6264AD84-88B0-4B91-B8CA-AF4D0BC3AE29}"/>
    <cellStyle name="Normal 2 5 4 5 2 3" xfId="11960" xr:uid="{3E00D77F-3D0B-4618-8705-A2710F160E9C}"/>
    <cellStyle name="Normal 2 5 4 5 3" xfId="5533" xr:uid="{00000000-0005-0000-0000-000059110000}"/>
    <cellStyle name="Normal 2 5 4 5 3 2" xfId="14028" xr:uid="{6B3F888C-A8A5-46F3-B326-85593F4944C9}"/>
    <cellStyle name="Normal 2 5 4 5 4" xfId="9815" xr:uid="{EFC36161-F010-4074-80B9-13B8AA6DA953}"/>
    <cellStyle name="Normal 2 5 4 6" xfId="1639" xr:uid="{00000000-0005-0000-0000-00005A110000}"/>
    <cellStyle name="Normal 2 5 4 6 2" xfId="3869" xr:uid="{00000000-0005-0000-0000-00005B110000}"/>
    <cellStyle name="Normal 2 5 4 6 2 2" xfId="8091" xr:uid="{00000000-0005-0000-0000-00005C110000}"/>
    <cellStyle name="Normal 2 5 4 6 2 2 2" xfId="16586" xr:uid="{C6C21CD1-1542-40D0-A34C-BF89A4E93B97}"/>
    <cellStyle name="Normal 2 5 4 6 2 3" xfId="12373" xr:uid="{EF4FC2FC-AC5F-49FB-BD8A-D15894DCC286}"/>
    <cellStyle name="Normal 2 5 4 6 3" xfId="5946" xr:uid="{00000000-0005-0000-0000-00005D110000}"/>
    <cellStyle name="Normal 2 5 4 6 3 2" xfId="14441" xr:uid="{8DF7F4AB-6AEF-48D6-AA01-36D0B3BF8700}"/>
    <cellStyle name="Normal 2 5 4 6 4" xfId="10228" xr:uid="{965963B9-7CDD-4498-BF68-D1A83A20EE84}"/>
    <cellStyle name="Normal 2 5 4 7" xfId="2053" xr:uid="{00000000-0005-0000-0000-00005E110000}"/>
    <cellStyle name="Normal 2 5 4 7 2" xfId="4282" xr:uid="{00000000-0005-0000-0000-00005F110000}"/>
    <cellStyle name="Normal 2 5 4 7 2 2" xfId="8504" xr:uid="{00000000-0005-0000-0000-000060110000}"/>
    <cellStyle name="Normal 2 5 4 7 2 2 2" xfId="16999" xr:uid="{AAC32C47-7D40-48E0-B135-76C336204D9F}"/>
    <cellStyle name="Normal 2 5 4 7 2 3" xfId="12786" xr:uid="{4627C4E2-E9B1-4148-BE27-3B3D8DEFA677}"/>
    <cellStyle name="Normal 2 5 4 7 3" xfId="6359" xr:uid="{00000000-0005-0000-0000-000061110000}"/>
    <cellStyle name="Normal 2 5 4 7 3 2" xfId="14854" xr:uid="{2AC0FB61-EFC4-456D-83F4-916CC59DE39F}"/>
    <cellStyle name="Normal 2 5 4 7 4" xfId="10641" xr:uid="{78E6D274-ECB5-46CE-A48E-FA2782FBF5A7}"/>
    <cellStyle name="Normal 2 5 4 8" xfId="2489" xr:uid="{00000000-0005-0000-0000-000062110000}"/>
    <cellStyle name="Normal 2 5 4 8 2" xfId="6772" xr:uid="{00000000-0005-0000-0000-000063110000}"/>
    <cellStyle name="Normal 2 5 4 8 2 2" xfId="15267" xr:uid="{92D0BF18-5571-4B84-B625-261EBBA74127}"/>
    <cellStyle name="Normal 2 5 4 8 3" xfId="11054" xr:uid="{B99F90A0-C937-4E13-A68B-98240955EAD6}"/>
    <cellStyle name="Normal 2 5 4 9" xfId="4706" xr:uid="{00000000-0005-0000-0000-000064110000}"/>
    <cellStyle name="Normal 2 5 4 9 2" xfId="13202" xr:uid="{F1E9E0EC-E97A-449D-AF25-EDBBDBF27FC9}"/>
    <cellStyle name="Normal 2 5 5" xfId="803" xr:uid="{00000000-0005-0000-0000-000065110000}"/>
    <cellStyle name="Normal 2 5 5 2" xfId="3042" xr:uid="{00000000-0005-0000-0000-000066110000}"/>
    <cellStyle name="Normal 2 5 5 2 2" xfId="7264" xr:uid="{00000000-0005-0000-0000-000067110000}"/>
    <cellStyle name="Normal 2 5 5 2 2 2" xfId="15759" xr:uid="{716A147D-5C58-4808-A241-8A4BF6A24FD0}"/>
    <cellStyle name="Normal 2 5 5 2 3" xfId="11546" xr:uid="{B01B55D6-39E1-4F1B-968A-7CA7872F1447}"/>
    <cellStyle name="Normal 2 5 5 3" xfId="5119" xr:uid="{00000000-0005-0000-0000-000068110000}"/>
    <cellStyle name="Normal 2 5 5 3 2" xfId="13614" xr:uid="{5B4F6FE0-4AC5-4F44-811F-FC756BF81D7A}"/>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2 2 2" xfId="16172" xr:uid="{3FFA04CF-CD9D-4D1B-A6C6-E3039FD0AE0E}"/>
    <cellStyle name="Normal 2 5 6 2 3" xfId="11959" xr:uid="{E132BB1E-556D-414E-8D85-3393CF8272D3}"/>
    <cellStyle name="Normal 2 5 6 3" xfId="5532" xr:uid="{00000000-0005-0000-0000-00006C110000}"/>
    <cellStyle name="Normal 2 5 6 3 2" xfId="14027" xr:uid="{E6C5396E-4759-4886-A4A3-AB56F09AA89A}"/>
    <cellStyle name="Normal 2 5 6 4" xfId="9814" xr:uid="{65D7F8FE-A365-419A-A077-62012CF78954}"/>
    <cellStyle name="Normal 2 5 7" xfId="1638" xr:uid="{00000000-0005-0000-0000-00006D110000}"/>
    <cellStyle name="Normal 2 5 7 2" xfId="3868" xr:uid="{00000000-0005-0000-0000-00006E110000}"/>
    <cellStyle name="Normal 2 5 7 2 2" xfId="8090" xr:uid="{00000000-0005-0000-0000-00006F110000}"/>
    <cellStyle name="Normal 2 5 7 2 2 2" xfId="16585" xr:uid="{E4CFE821-7E0C-4AB8-9281-46D69DA11B16}"/>
    <cellStyle name="Normal 2 5 7 2 3" xfId="12372" xr:uid="{5C4942D8-52EB-43AB-B803-5C2035C8612C}"/>
    <cellStyle name="Normal 2 5 7 3" xfId="5945" xr:uid="{00000000-0005-0000-0000-000070110000}"/>
    <cellStyle name="Normal 2 5 7 3 2" xfId="14440" xr:uid="{81C94EE5-C209-4E48-AAD3-9AE765296255}"/>
    <cellStyle name="Normal 2 5 7 4" xfId="10227" xr:uid="{DF965086-4A07-4BD5-95E0-C8300EECBE6E}"/>
    <cellStyle name="Normal 2 5 8" xfId="2052" xr:uid="{00000000-0005-0000-0000-000071110000}"/>
    <cellStyle name="Normal 2 5 8 2" xfId="4281" xr:uid="{00000000-0005-0000-0000-000072110000}"/>
    <cellStyle name="Normal 2 5 8 2 2" xfId="8503" xr:uid="{00000000-0005-0000-0000-000073110000}"/>
    <cellStyle name="Normal 2 5 8 2 2 2" xfId="16998" xr:uid="{F0F1ACAC-4A58-4F53-94A8-26A5E7201BD4}"/>
    <cellStyle name="Normal 2 5 8 2 3" xfId="12785" xr:uid="{FADD80EF-FE33-470E-AE60-18B6F9B4117A}"/>
    <cellStyle name="Normal 2 5 8 3" xfId="6358" xr:uid="{00000000-0005-0000-0000-000074110000}"/>
    <cellStyle name="Normal 2 5 8 3 2" xfId="14853" xr:uid="{8EDF12FB-4A81-4CE0-A3F0-E1EE875A6940}"/>
    <cellStyle name="Normal 2 5 8 4" xfId="10640" xr:uid="{5B080EAB-BC62-439C-8B4B-40FD23EC1B2C}"/>
    <cellStyle name="Normal 2 5 9" xfId="2488" xr:uid="{00000000-0005-0000-0000-000075110000}"/>
    <cellStyle name="Normal 2 5 9 2" xfId="6771" xr:uid="{00000000-0005-0000-0000-000076110000}"/>
    <cellStyle name="Normal 2 5 9 2 2" xfId="15266" xr:uid="{C95209CE-A2FE-41B5-B6D4-F50607316918}"/>
    <cellStyle name="Normal 2 5 9 3" xfId="11053" xr:uid="{C4DB7BDB-2660-4C1D-B8D3-0512AB53CC5C}"/>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67" xr:uid="{430B325A-372F-4731-81F9-C3BED2EA7DC4}"/>
    <cellStyle name="Normal 3 2 3 2 2 2 2 3" xfId="11554" xr:uid="{C1321EFB-84F7-4778-B88A-7D9D71C4C170}"/>
    <cellStyle name="Normal 3 2 3 2 2 2 3" xfId="5127" xr:uid="{00000000-0005-0000-0000-000084110000}"/>
    <cellStyle name="Normal 3 2 3 2 2 2 3 2" xfId="13622" xr:uid="{96E97A61-CF12-4919-86F4-55B6FC680D58}"/>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80" xr:uid="{4F582B3A-9C72-49E0-BF90-58C56EBE2C50}"/>
    <cellStyle name="Normal 3 2 3 2 2 3 2 3" xfId="11967" xr:uid="{E44B46FE-5399-4A4E-9B57-DCFE5A5D2612}"/>
    <cellStyle name="Normal 3 2 3 2 2 3 3" xfId="5540" xr:uid="{00000000-0005-0000-0000-000088110000}"/>
    <cellStyle name="Normal 3 2 3 2 2 3 3 2" xfId="14035" xr:uid="{C34711EF-B787-4EEB-BFC5-8D5AF653B596}"/>
    <cellStyle name="Normal 3 2 3 2 2 3 4" xfId="9822" xr:uid="{5056A196-4C57-44D1-98F7-AEB3E9B7A1C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93" xr:uid="{7B903B26-A688-40CF-A6B6-4209326A0889}"/>
    <cellStyle name="Normal 3 2 3 2 2 4 2 3" xfId="12380" xr:uid="{3A362FC8-D0FC-4237-BBF7-A84B76276470}"/>
    <cellStyle name="Normal 3 2 3 2 2 4 3" xfId="5953" xr:uid="{00000000-0005-0000-0000-00008C110000}"/>
    <cellStyle name="Normal 3 2 3 2 2 4 3 2" xfId="14448" xr:uid="{83B1E310-6F38-4E1A-B999-B75BFF7DB057}"/>
    <cellStyle name="Normal 3 2 3 2 2 4 4" xfId="10235" xr:uid="{7D9DBB2D-6205-4800-8A0D-997E812701CE}"/>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006" xr:uid="{05597B7B-7DE8-459D-AEEF-4ED5C8000841}"/>
    <cellStyle name="Normal 3 2 3 2 2 5 2 3" xfId="12793" xr:uid="{EDF811B8-AE46-498E-B95C-22EEE0A24149}"/>
    <cellStyle name="Normal 3 2 3 2 2 5 3" xfId="6366" xr:uid="{00000000-0005-0000-0000-000090110000}"/>
    <cellStyle name="Normal 3 2 3 2 2 5 3 2" xfId="14861" xr:uid="{3AF0EF0B-8C1F-4DD6-9E81-5786F5232C8B}"/>
    <cellStyle name="Normal 3 2 3 2 2 5 4" xfId="10648" xr:uid="{1F5E60FA-3B5D-44CE-9DC8-691DE63CB442}"/>
    <cellStyle name="Normal 3 2 3 2 2 6" xfId="2496" xr:uid="{00000000-0005-0000-0000-000091110000}"/>
    <cellStyle name="Normal 3 2 3 2 2 6 2" xfId="6779" xr:uid="{00000000-0005-0000-0000-000092110000}"/>
    <cellStyle name="Normal 3 2 3 2 2 6 2 2" xfId="15274" xr:uid="{4CF63AC5-B013-4629-B209-A83772FBF8B8}"/>
    <cellStyle name="Normal 3 2 3 2 2 6 3" xfId="11061" xr:uid="{B8DFC4EB-4431-47C9-80F5-A01CD0C5B5C5}"/>
    <cellStyle name="Normal 3 2 3 2 2 7" xfId="4713" xr:uid="{00000000-0005-0000-0000-000093110000}"/>
    <cellStyle name="Normal 3 2 3 2 2 7 2" xfId="13209" xr:uid="{3F49BD73-E9E9-45B7-B42E-65A48A318FEA}"/>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66" xr:uid="{04503D77-9BDD-409B-A4D7-F907072DDB38}"/>
    <cellStyle name="Normal 3 2 3 2 3 2 3" xfId="11553" xr:uid="{13205E53-8A67-4154-9755-2619537B3894}"/>
    <cellStyle name="Normal 3 2 3 2 3 3" xfId="5126" xr:uid="{00000000-0005-0000-0000-000097110000}"/>
    <cellStyle name="Normal 3 2 3 2 3 3 2" xfId="13621" xr:uid="{45660211-19A7-40CD-B980-DDF7F157282B}"/>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79" xr:uid="{0E929B76-7654-425A-8427-2B6EDD712058}"/>
    <cellStyle name="Normal 3 2 3 2 4 2 3" xfId="11966" xr:uid="{A55A011C-8289-4B53-A6B7-B1F1C8ECBF97}"/>
    <cellStyle name="Normal 3 2 3 2 4 3" xfId="5539" xr:uid="{00000000-0005-0000-0000-00009B110000}"/>
    <cellStyle name="Normal 3 2 3 2 4 3 2" xfId="14034" xr:uid="{25FFF00E-A54D-497B-8911-A6288636FAD1}"/>
    <cellStyle name="Normal 3 2 3 2 4 4" xfId="9821" xr:uid="{4942E508-9E22-46D5-8323-0073F67D9143}"/>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92" xr:uid="{1D655AB2-81C1-4D6E-AB74-1E9027BEA78C}"/>
    <cellStyle name="Normal 3 2 3 2 5 2 3" xfId="12379" xr:uid="{6C6A7CC4-2BBE-4482-93C2-2CC7B63B692F}"/>
    <cellStyle name="Normal 3 2 3 2 5 3" xfId="5952" xr:uid="{00000000-0005-0000-0000-00009F110000}"/>
    <cellStyle name="Normal 3 2 3 2 5 3 2" xfId="14447" xr:uid="{FA853B75-243E-4B1B-A69F-61950B9D229A}"/>
    <cellStyle name="Normal 3 2 3 2 5 4" xfId="10234" xr:uid="{49162CBA-4D56-48EA-AA7E-FA75AAF3A1DD}"/>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005" xr:uid="{094F2652-3A0B-4282-9C89-709A5A4FA2B9}"/>
    <cellStyle name="Normal 3 2 3 2 6 2 3" xfId="12792" xr:uid="{050C19F8-F61F-4F71-9DCE-982622C7A5E8}"/>
    <cellStyle name="Normal 3 2 3 2 6 3" xfId="6365" xr:uid="{00000000-0005-0000-0000-0000A3110000}"/>
    <cellStyle name="Normal 3 2 3 2 6 3 2" xfId="14860" xr:uid="{E6C97ABD-0BFC-43AB-A695-E9C75FD772AE}"/>
    <cellStyle name="Normal 3 2 3 2 6 4" xfId="10647" xr:uid="{65AAED20-AD04-425F-AABE-EF4414A63C40}"/>
    <cellStyle name="Normal 3 2 3 2 7" xfId="2495" xr:uid="{00000000-0005-0000-0000-0000A4110000}"/>
    <cellStyle name="Normal 3 2 3 2 7 2" xfId="6778" xr:uid="{00000000-0005-0000-0000-0000A5110000}"/>
    <cellStyle name="Normal 3 2 3 2 7 2 2" xfId="15273" xr:uid="{05812B69-62B4-4A74-863D-D46800FA62AE}"/>
    <cellStyle name="Normal 3 2 3 2 7 3" xfId="11060" xr:uid="{A12E2BEA-92DD-400B-8BEF-5363B19A89DE}"/>
    <cellStyle name="Normal 3 2 3 2 8" xfId="4712" xr:uid="{00000000-0005-0000-0000-0000A6110000}"/>
    <cellStyle name="Normal 3 2 3 2 8 2" xfId="13208" xr:uid="{8C4E49FC-960A-469D-A8B5-63F9CEAD958E}"/>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68" xr:uid="{A3DFBA09-FC17-4BF3-AC45-B5C275745E6F}"/>
    <cellStyle name="Normal 3 2 3 3 2 2 3" xfId="11555" xr:uid="{30A0B67D-2049-4997-ABCB-2E5325D137F2}"/>
    <cellStyle name="Normal 3 2 3 3 2 3" xfId="5128" xr:uid="{00000000-0005-0000-0000-0000AB110000}"/>
    <cellStyle name="Normal 3 2 3 3 2 3 2" xfId="13623" xr:uid="{11CB3DCF-AB87-40BA-81AE-F4702CCDB3DE}"/>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81" xr:uid="{BCB22006-D337-49B3-B70F-4DF43B416A7E}"/>
    <cellStyle name="Normal 3 2 3 3 3 2 3" xfId="11968" xr:uid="{8A13EE14-8E6F-405E-9757-8E2BEBB055A3}"/>
    <cellStyle name="Normal 3 2 3 3 3 3" xfId="5541" xr:uid="{00000000-0005-0000-0000-0000AF110000}"/>
    <cellStyle name="Normal 3 2 3 3 3 3 2" xfId="14036" xr:uid="{68EC80B7-E189-4170-A806-70B05EE00048}"/>
    <cellStyle name="Normal 3 2 3 3 3 4" xfId="9823" xr:uid="{3724D24B-8A1D-4F8B-97CF-BDC5E4228437}"/>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94" xr:uid="{54782A54-4EDF-4DBC-B9C9-37E85EC90CD8}"/>
    <cellStyle name="Normal 3 2 3 3 4 2 3" xfId="12381" xr:uid="{AF6BDD55-6C9C-40B0-9622-95086599E599}"/>
    <cellStyle name="Normal 3 2 3 3 4 3" xfId="5954" xr:uid="{00000000-0005-0000-0000-0000B3110000}"/>
    <cellStyle name="Normal 3 2 3 3 4 3 2" xfId="14449" xr:uid="{538B1013-01EA-4D2A-9664-9FBEF31F8CCD}"/>
    <cellStyle name="Normal 3 2 3 3 4 4" xfId="10236" xr:uid="{D381CAB9-0F70-4F4C-9FBC-77F27D6B0EF3}"/>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007" xr:uid="{0C0DDD29-9ADC-4419-9586-546830BD5293}"/>
    <cellStyle name="Normal 3 2 3 3 5 2 3" xfId="12794" xr:uid="{E479DAAC-1E93-492F-BB04-AA74771DB614}"/>
    <cellStyle name="Normal 3 2 3 3 5 3" xfId="6367" xr:uid="{00000000-0005-0000-0000-0000B7110000}"/>
    <cellStyle name="Normal 3 2 3 3 5 3 2" xfId="14862" xr:uid="{05076E02-5A06-44ED-9642-49CB1E9A7665}"/>
    <cellStyle name="Normal 3 2 3 3 5 4" xfId="10649" xr:uid="{F0191F9B-610A-4AE8-9C12-1D770EFC048A}"/>
    <cellStyle name="Normal 3 2 3 3 6" xfId="2497" xr:uid="{00000000-0005-0000-0000-0000B8110000}"/>
    <cellStyle name="Normal 3 2 3 3 6 2" xfId="6780" xr:uid="{00000000-0005-0000-0000-0000B9110000}"/>
    <cellStyle name="Normal 3 2 3 3 6 2 2" xfId="15275" xr:uid="{81092CA1-9EB9-4D3C-8331-396329B4F8E1}"/>
    <cellStyle name="Normal 3 2 3 3 6 3" xfId="11062" xr:uid="{8822649D-92D2-4ED9-97B2-7B030AB09BDB}"/>
    <cellStyle name="Normal 3 2 3 3 7" xfId="4714" xr:uid="{00000000-0005-0000-0000-0000BA110000}"/>
    <cellStyle name="Normal 3 2 3 3 7 2" xfId="13210" xr:uid="{2B4CEBE9-1F91-467B-9EFE-71CEC0AF2B29}"/>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2 2 2" xfId="15765" xr:uid="{08853239-E84F-4980-88FC-CEE1F2738B73}"/>
    <cellStyle name="Normal 3 2 3 4 2 3" xfId="11552" xr:uid="{A3FB4CBA-1F21-4A88-9C15-5F7B98166C7D}"/>
    <cellStyle name="Normal 3 2 3 4 3" xfId="5125" xr:uid="{00000000-0005-0000-0000-0000BE110000}"/>
    <cellStyle name="Normal 3 2 3 4 3 2" xfId="13620" xr:uid="{3F10F779-E666-4BE3-B388-9E523CB4693A}"/>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2 2 2" xfId="16178" xr:uid="{0DDA8B34-EEC6-4330-AB41-A73AB24F0EEF}"/>
    <cellStyle name="Normal 3 2 3 5 2 3" xfId="11965" xr:uid="{CDDA4509-D5F7-4ADC-9F0C-F6824737E0AC}"/>
    <cellStyle name="Normal 3 2 3 5 3" xfId="5538" xr:uid="{00000000-0005-0000-0000-0000C2110000}"/>
    <cellStyle name="Normal 3 2 3 5 3 2" xfId="14033" xr:uid="{6C9EC239-95BA-4E8C-A4C7-16A7F1AF2853}"/>
    <cellStyle name="Normal 3 2 3 5 4" xfId="9820" xr:uid="{3251DFE3-4BDC-41F4-8E49-B594366FD854}"/>
    <cellStyle name="Normal 3 2 3 6" xfId="1644" xr:uid="{00000000-0005-0000-0000-0000C3110000}"/>
    <cellStyle name="Normal 3 2 3 6 2" xfId="3874" xr:uid="{00000000-0005-0000-0000-0000C4110000}"/>
    <cellStyle name="Normal 3 2 3 6 2 2" xfId="8096" xr:uid="{00000000-0005-0000-0000-0000C5110000}"/>
    <cellStyle name="Normal 3 2 3 6 2 2 2" xfId="16591" xr:uid="{9E934752-718F-48B9-AB37-84E1A2839D3B}"/>
    <cellStyle name="Normal 3 2 3 6 2 3" xfId="12378" xr:uid="{B0DB9E57-19C4-4CB0-8425-A3A672CFFCEE}"/>
    <cellStyle name="Normal 3 2 3 6 3" xfId="5951" xr:uid="{00000000-0005-0000-0000-0000C6110000}"/>
    <cellStyle name="Normal 3 2 3 6 3 2" xfId="14446" xr:uid="{C83FF957-B748-4747-849B-BAB003EB9D8A}"/>
    <cellStyle name="Normal 3 2 3 6 4" xfId="10233" xr:uid="{6D4279BA-25BE-4A3C-80D0-9E3ADCDC7A2D}"/>
    <cellStyle name="Normal 3 2 3 7" xfId="2058" xr:uid="{00000000-0005-0000-0000-0000C7110000}"/>
    <cellStyle name="Normal 3 2 3 7 2" xfId="4287" xr:uid="{00000000-0005-0000-0000-0000C8110000}"/>
    <cellStyle name="Normal 3 2 3 7 2 2" xfId="8509" xr:uid="{00000000-0005-0000-0000-0000C9110000}"/>
    <cellStyle name="Normal 3 2 3 7 2 2 2" xfId="17004" xr:uid="{6483E036-0022-403A-96B1-3558B0A8204B}"/>
    <cellStyle name="Normal 3 2 3 7 2 3" xfId="12791" xr:uid="{F4390616-07D6-4C60-8533-5DC622BBF1F5}"/>
    <cellStyle name="Normal 3 2 3 7 3" xfId="6364" xr:uid="{00000000-0005-0000-0000-0000CA110000}"/>
    <cellStyle name="Normal 3 2 3 7 3 2" xfId="14859" xr:uid="{5CDEFEA6-0E07-4570-B667-06F76227F9DE}"/>
    <cellStyle name="Normal 3 2 3 7 4" xfId="10646" xr:uid="{62E9ADB7-CC46-469F-8504-F9BE445516A0}"/>
    <cellStyle name="Normal 3 2 3 8" xfId="2494" xr:uid="{00000000-0005-0000-0000-0000CB110000}"/>
    <cellStyle name="Normal 3 2 3 8 2" xfId="6777" xr:uid="{00000000-0005-0000-0000-0000CC110000}"/>
    <cellStyle name="Normal 3 2 3 8 2 2" xfId="15272" xr:uid="{955FBADF-0924-45DD-848A-C7645417A675}"/>
    <cellStyle name="Normal 3 2 3 8 3" xfId="11059" xr:uid="{070D3404-D1AA-465E-989B-1EB3085ECA94}"/>
    <cellStyle name="Normal 3 2 3 9" xfId="4711" xr:uid="{00000000-0005-0000-0000-0000CD110000}"/>
    <cellStyle name="Normal 3 2 3 9 2" xfId="13207" xr:uid="{DDA0054B-6D75-4CC9-9B78-4820237B2FEC}"/>
    <cellStyle name="Normal 3 2 4" xfId="809" xr:uid="{00000000-0005-0000-0000-0000CE110000}"/>
    <cellStyle name="Normal 3 2 4 2" xfId="3047" xr:uid="{00000000-0005-0000-0000-0000CF110000}"/>
    <cellStyle name="Normal 3 2 4 2 2" xfId="7269" xr:uid="{00000000-0005-0000-0000-0000D0110000}"/>
    <cellStyle name="Normal 3 2 4 2 2 2" xfId="15764" xr:uid="{39C8640E-5EC1-41B6-AED9-F951F70CD9E6}"/>
    <cellStyle name="Normal 3 2 4 2 3" xfId="11551" xr:uid="{E8E63417-CEF4-45F6-A165-0481314A7B67}"/>
    <cellStyle name="Normal 3 2 4 3" xfId="5124" xr:uid="{00000000-0005-0000-0000-0000D1110000}"/>
    <cellStyle name="Normal 3 2 4 3 2" xfId="13619" xr:uid="{45A52AC0-CD50-4002-96F7-1E4B9684837D}"/>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2 2 2" xfId="16177" xr:uid="{03D39C17-72AD-45CE-8487-5417AAFDA2EE}"/>
    <cellStyle name="Normal 3 2 5 2 3" xfId="11964" xr:uid="{CF059FE0-4EC3-444C-ACF5-1204540A6E1A}"/>
    <cellStyle name="Normal 3 2 5 3" xfId="5537" xr:uid="{00000000-0005-0000-0000-0000D5110000}"/>
    <cellStyle name="Normal 3 2 5 3 2" xfId="14032" xr:uid="{12CCFA6F-6C05-4241-B759-C6CF1F2B5454}"/>
    <cellStyle name="Normal 3 2 5 4" xfId="9819" xr:uid="{1BC3292B-D41C-4AE2-B4FD-589E14E31F5B}"/>
    <cellStyle name="Normal 3 2 6" xfId="1643" xr:uid="{00000000-0005-0000-0000-0000D6110000}"/>
    <cellStyle name="Normal 3 2 6 2" xfId="3873" xr:uid="{00000000-0005-0000-0000-0000D7110000}"/>
    <cellStyle name="Normal 3 2 6 2 2" xfId="8095" xr:uid="{00000000-0005-0000-0000-0000D8110000}"/>
    <cellStyle name="Normal 3 2 6 2 2 2" xfId="16590" xr:uid="{293A4B93-15FF-4BCF-99D5-ADE80129D094}"/>
    <cellStyle name="Normal 3 2 6 2 3" xfId="12377" xr:uid="{233AA9AA-3BEA-439E-A267-FEF27AEDBEF1}"/>
    <cellStyle name="Normal 3 2 6 3" xfId="5950" xr:uid="{00000000-0005-0000-0000-0000D9110000}"/>
    <cellStyle name="Normal 3 2 6 3 2" xfId="14445" xr:uid="{EF18D1A5-B192-4FF0-9961-A918057E7DDD}"/>
    <cellStyle name="Normal 3 2 6 4" xfId="10232" xr:uid="{7E7B9547-D8C5-46E4-BDCC-7C1F868B9C3F}"/>
    <cellStyle name="Normal 3 2 7" xfId="2057" xr:uid="{00000000-0005-0000-0000-0000DA110000}"/>
    <cellStyle name="Normal 3 2 7 2" xfId="4286" xr:uid="{00000000-0005-0000-0000-0000DB110000}"/>
    <cellStyle name="Normal 3 2 7 2 2" xfId="8508" xr:uid="{00000000-0005-0000-0000-0000DC110000}"/>
    <cellStyle name="Normal 3 2 7 2 2 2" xfId="17003" xr:uid="{3A8C6166-4F46-4D2F-96C8-692308FBEBEB}"/>
    <cellStyle name="Normal 3 2 7 2 3" xfId="12790" xr:uid="{1B22C715-22D2-4A7B-8A3A-E4473DE736B4}"/>
    <cellStyle name="Normal 3 2 7 3" xfId="6363" xr:uid="{00000000-0005-0000-0000-0000DD110000}"/>
    <cellStyle name="Normal 3 2 7 3 2" xfId="14858" xr:uid="{804576AF-F9C4-4BAE-8738-29E2EA980B80}"/>
    <cellStyle name="Normal 3 2 7 4" xfId="10645" xr:uid="{F75275ED-1D2A-4AA3-B4F5-DC4D889CBA40}"/>
    <cellStyle name="Normal 3 2 8" xfId="2493" xr:uid="{00000000-0005-0000-0000-0000DE110000}"/>
    <cellStyle name="Normal 3 2 8 2" xfId="6776" xr:uid="{00000000-0005-0000-0000-0000DF110000}"/>
    <cellStyle name="Normal 3 2 8 2 2" xfId="15271" xr:uid="{498C7303-331E-4796-ADE9-E6AF76588E7C}"/>
    <cellStyle name="Normal 3 2 8 3" xfId="11058" xr:uid="{8FA07DE3-8964-4637-B9DB-E3421856D2E8}"/>
    <cellStyle name="Normal 3 2 9" xfId="4710" xr:uid="{00000000-0005-0000-0000-0000E0110000}"/>
    <cellStyle name="Normal 3 2 9 2" xfId="13206" xr:uid="{B2EE47BD-6DFA-46F8-91C0-5397D674F89F}"/>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008" xr:uid="{BB372396-B326-4236-9BF7-2CAD00B9A922}"/>
    <cellStyle name="Normal 4 2 2 10 2 3" xfId="12795" xr:uid="{77C73B29-C3D7-4AC4-A670-438B3FE9DF25}"/>
    <cellStyle name="Normal 4 2 2 10 3" xfId="6368" xr:uid="{00000000-0005-0000-0000-0000ED110000}"/>
    <cellStyle name="Normal 4 2 2 10 3 2" xfId="14863" xr:uid="{326CA1C6-F41E-4D60-BB1A-C0855976039E}"/>
    <cellStyle name="Normal 4 2 2 10 4" xfId="10650" xr:uid="{EC7D2BCC-4FE8-452E-B1BF-1A0372E8AA10}"/>
    <cellStyle name="Normal 4 2 2 11" xfId="2498" xr:uid="{00000000-0005-0000-0000-0000EE110000}"/>
    <cellStyle name="Normal 4 2 2 11 2" xfId="6781" xr:uid="{00000000-0005-0000-0000-0000EF110000}"/>
    <cellStyle name="Normal 4 2 2 11 2 2" xfId="15276" xr:uid="{2F09DCD9-B9B7-45CE-93AE-DEC5333D75DD}"/>
    <cellStyle name="Normal 4 2 2 11 3" xfId="11063" xr:uid="{1AC719B7-3C2E-4381-AFE6-1C2DB79C1D81}"/>
    <cellStyle name="Normal 4 2 2 12" xfId="4716" xr:uid="{00000000-0005-0000-0000-0000F0110000}"/>
    <cellStyle name="Normal 4 2 2 12 2" xfId="13211" xr:uid="{21CC9BD1-A01C-43CD-B74E-083CC5FDB83F}"/>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0 2" xfId="13212" xr:uid="{385EB519-FA94-4378-9BEC-A219AE08F00C}"/>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73" xr:uid="{EFEF3EA1-7AF4-44A2-8BA8-C36D9BE304CB}"/>
    <cellStyle name="Normal 4 2 2 3 2 2 2 2 2 3" xfId="11560" xr:uid="{F73AADFB-DFE5-4AEC-BF62-77A90BFF19C9}"/>
    <cellStyle name="Normal 4 2 2 3 2 2 2 2 3" xfId="5133" xr:uid="{00000000-0005-0000-0000-0000FA110000}"/>
    <cellStyle name="Normal 4 2 2 3 2 2 2 2 3 2" xfId="13628" xr:uid="{DF42EA86-3694-432D-AFF9-6BA05E44423A}"/>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86" xr:uid="{4DA5E064-8427-412B-944D-24E50BD15A81}"/>
    <cellStyle name="Normal 4 2 2 3 2 2 2 3 2 3" xfId="11973" xr:uid="{B0F52CC4-D8CF-4EA6-8053-D495947F62F2}"/>
    <cellStyle name="Normal 4 2 2 3 2 2 2 3 3" xfId="5546" xr:uid="{00000000-0005-0000-0000-0000FE110000}"/>
    <cellStyle name="Normal 4 2 2 3 2 2 2 3 3 2" xfId="14041" xr:uid="{82F8D10C-32A9-4060-B1AE-B34593AEFB7D}"/>
    <cellStyle name="Normal 4 2 2 3 2 2 2 3 4" xfId="9828" xr:uid="{F1F19FDC-5D40-4601-8A6F-0C1D244B77C8}"/>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99" xr:uid="{0D8AC324-FB2D-43D0-97AE-D55CD06D085E}"/>
    <cellStyle name="Normal 4 2 2 3 2 2 2 4 2 3" xfId="12386" xr:uid="{FD1A48E7-B005-435C-AAAB-DBF2A0DD8780}"/>
    <cellStyle name="Normal 4 2 2 3 2 2 2 4 3" xfId="5959" xr:uid="{00000000-0005-0000-0000-000002120000}"/>
    <cellStyle name="Normal 4 2 2 3 2 2 2 4 3 2" xfId="14454" xr:uid="{F638CC2D-F43E-4567-89F6-6CA91AC2623F}"/>
    <cellStyle name="Normal 4 2 2 3 2 2 2 4 4" xfId="10241" xr:uid="{79D78BBD-DB9E-4675-9E7D-381F179F3E0E}"/>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012" xr:uid="{82DC1A23-FCBA-499C-AD85-E8895E208EB5}"/>
    <cellStyle name="Normal 4 2 2 3 2 2 2 5 2 3" xfId="12799" xr:uid="{53630B8F-3067-4A61-B9E7-122F1F6FD0B0}"/>
    <cellStyle name="Normal 4 2 2 3 2 2 2 5 3" xfId="6372" xr:uid="{00000000-0005-0000-0000-000006120000}"/>
    <cellStyle name="Normal 4 2 2 3 2 2 2 5 3 2" xfId="14867" xr:uid="{FB922903-F990-4D43-8F9F-290525B93054}"/>
    <cellStyle name="Normal 4 2 2 3 2 2 2 5 4" xfId="10654" xr:uid="{0730A3E2-8341-4993-9BB5-C1C296AAFC46}"/>
    <cellStyle name="Normal 4 2 2 3 2 2 2 6" xfId="2502" xr:uid="{00000000-0005-0000-0000-000007120000}"/>
    <cellStyle name="Normal 4 2 2 3 2 2 2 6 2" xfId="6785" xr:uid="{00000000-0005-0000-0000-000008120000}"/>
    <cellStyle name="Normal 4 2 2 3 2 2 2 6 2 2" xfId="15280" xr:uid="{FFE1F8FB-86C9-411A-9AA1-9FC9FABB5F10}"/>
    <cellStyle name="Normal 4 2 2 3 2 2 2 6 3" xfId="11067" xr:uid="{C956F716-5D1F-48FB-8530-47233D5182FE}"/>
    <cellStyle name="Normal 4 2 2 3 2 2 2 7" xfId="4720" xr:uid="{00000000-0005-0000-0000-000009120000}"/>
    <cellStyle name="Normal 4 2 2 3 2 2 2 7 2" xfId="13215" xr:uid="{E34A6C59-8B4D-47FA-A34A-30FAC098845D}"/>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72" xr:uid="{3F0584C1-846D-4057-8C0E-1353D285F17D}"/>
    <cellStyle name="Normal 4 2 2 3 2 2 3 2 3" xfId="11559" xr:uid="{CD2CF082-FD87-4E27-A9A4-27AE2773E10F}"/>
    <cellStyle name="Normal 4 2 2 3 2 2 3 3" xfId="5132" xr:uid="{00000000-0005-0000-0000-00000D120000}"/>
    <cellStyle name="Normal 4 2 2 3 2 2 3 3 2" xfId="13627" xr:uid="{A815A213-10FF-4D05-9420-7A3FFF6D54CF}"/>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85" xr:uid="{7FA00405-4AB8-416B-B69D-BD8F40F4EB50}"/>
    <cellStyle name="Normal 4 2 2 3 2 2 4 2 3" xfId="11972" xr:uid="{1B68D8C7-6EAA-4099-B3F0-0AF7F4F76325}"/>
    <cellStyle name="Normal 4 2 2 3 2 2 4 3" xfId="5545" xr:uid="{00000000-0005-0000-0000-000011120000}"/>
    <cellStyle name="Normal 4 2 2 3 2 2 4 3 2" xfId="14040" xr:uid="{2704CB9C-93AB-4985-B210-64E573D36832}"/>
    <cellStyle name="Normal 4 2 2 3 2 2 4 4" xfId="9827" xr:uid="{87C9561E-6078-4310-B838-038A0B4986FA}"/>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98" xr:uid="{740C8661-D979-49B6-8C21-87A5129CEF09}"/>
    <cellStyle name="Normal 4 2 2 3 2 2 5 2 3" xfId="12385" xr:uid="{ED401509-AEBA-45A6-9DE3-C3E4DD841ED6}"/>
    <cellStyle name="Normal 4 2 2 3 2 2 5 3" xfId="5958" xr:uid="{00000000-0005-0000-0000-000015120000}"/>
    <cellStyle name="Normal 4 2 2 3 2 2 5 3 2" xfId="14453" xr:uid="{07662EF2-B000-4958-B359-636E1E19A638}"/>
    <cellStyle name="Normal 4 2 2 3 2 2 5 4" xfId="10240" xr:uid="{7231D553-47A5-44E9-B06E-3847FDC5A008}"/>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011" xr:uid="{208176FD-ECA6-46AE-B418-EB8D12AB54A5}"/>
    <cellStyle name="Normal 4 2 2 3 2 2 6 2 3" xfId="12798" xr:uid="{AB064D23-A619-454C-B894-F5BDEB1FADAA}"/>
    <cellStyle name="Normal 4 2 2 3 2 2 6 3" xfId="6371" xr:uid="{00000000-0005-0000-0000-000019120000}"/>
    <cellStyle name="Normal 4 2 2 3 2 2 6 3 2" xfId="14866" xr:uid="{85CC57AF-360B-4882-817A-6AE12B94CCB4}"/>
    <cellStyle name="Normal 4 2 2 3 2 2 6 4" xfId="10653" xr:uid="{35219F90-CB13-4D4B-93E0-3248D4DE377E}"/>
    <cellStyle name="Normal 4 2 2 3 2 2 7" xfId="2501" xr:uid="{00000000-0005-0000-0000-00001A120000}"/>
    <cellStyle name="Normal 4 2 2 3 2 2 7 2" xfId="6784" xr:uid="{00000000-0005-0000-0000-00001B120000}"/>
    <cellStyle name="Normal 4 2 2 3 2 2 7 2 2" xfId="15279" xr:uid="{689AEB13-6059-4875-856C-88FB6CA4D858}"/>
    <cellStyle name="Normal 4 2 2 3 2 2 7 3" xfId="11066" xr:uid="{82F9C9CD-713B-4A9C-B8D3-E52DE6CC0D89}"/>
    <cellStyle name="Normal 4 2 2 3 2 2 8" xfId="4719" xr:uid="{00000000-0005-0000-0000-00001C120000}"/>
    <cellStyle name="Normal 4 2 2 3 2 2 8 2" xfId="13214" xr:uid="{68580D75-7B66-40AF-8A94-E4FDB053385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74" xr:uid="{88856EF9-2B51-4236-A910-9B10EC88D761}"/>
    <cellStyle name="Normal 4 2 2 3 2 3 2 2 3" xfId="11561" xr:uid="{111AC440-A330-40EB-9912-472266722F73}"/>
    <cellStyle name="Normal 4 2 2 3 2 3 2 3" xfId="5134" xr:uid="{00000000-0005-0000-0000-000021120000}"/>
    <cellStyle name="Normal 4 2 2 3 2 3 2 3 2" xfId="13629" xr:uid="{BFDA8EA9-7C3E-4564-B8E9-440964DB9198}"/>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87" xr:uid="{535E6E40-D16C-4384-942E-8FECF0DDCF6D}"/>
    <cellStyle name="Normal 4 2 2 3 2 3 3 2 3" xfId="11974" xr:uid="{636EC6A3-3431-4AD8-861E-8A1FE226AF13}"/>
    <cellStyle name="Normal 4 2 2 3 2 3 3 3" xfId="5547" xr:uid="{00000000-0005-0000-0000-000025120000}"/>
    <cellStyle name="Normal 4 2 2 3 2 3 3 3 2" xfId="14042" xr:uid="{B5B538B0-C640-4A5B-A8F1-692F5C5DD874}"/>
    <cellStyle name="Normal 4 2 2 3 2 3 3 4" xfId="9829" xr:uid="{E9D16BBC-20D7-4AB2-8CC7-FF22B98A6966}"/>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600" xr:uid="{BFD53B7F-B6CD-42F7-B2FC-B9A299AEAB4F}"/>
    <cellStyle name="Normal 4 2 2 3 2 3 4 2 3" xfId="12387" xr:uid="{88624C41-5806-4196-9ACA-2BEC8A2FCFD8}"/>
    <cellStyle name="Normal 4 2 2 3 2 3 4 3" xfId="5960" xr:uid="{00000000-0005-0000-0000-000029120000}"/>
    <cellStyle name="Normal 4 2 2 3 2 3 4 3 2" xfId="14455" xr:uid="{2932812E-1C7D-4893-9471-5044492D2C4B}"/>
    <cellStyle name="Normal 4 2 2 3 2 3 4 4" xfId="10242" xr:uid="{D37DF969-89C6-49FA-AE96-7A2F707D43A5}"/>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013" xr:uid="{2E093143-B7B4-42CA-9706-C69952118BA0}"/>
    <cellStyle name="Normal 4 2 2 3 2 3 5 2 3" xfId="12800" xr:uid="{7554A8F0-66C6-469D-A0A6-1D53EC7BCC6A}"/>
    <cellStyle name="Normal 4 2 2 3 2 3 5 3" xfId="6373" xr:uid="{00000000-0005-0000-0000-00002D120000}"/>
    <cellStyle name="Normal 4 2 2 3 2 3 5 3 2" xfId="14868" xr:uid="{DD1A9B8B-597B-4C7A-A742-9D0D9A9774DC}"/>
    <cellStyle name="Normal 4 2 2 3 2 3 5 4" xfId="10655" xr:uid="{17D63A88-BD40-4E56-9FEC-47C768CBC9FE}"/>
    <cellStyle name="Normal 4 2 2 3 2 3 6" xfId="2503" xr:uid="{00000000-0005-0000-0000-00002E120000}"/>
    <cellStyle name="Normal 4 2 2 3 2 3 6 2" xfId="6786" xr:uid="{00000000-0005-0000-0000-00002F120000}"/>
    <cellStyle name="Normal 4 2 2 3 2 3 6 2 2" xfId="15281" xr:uid="{D9135B7F-2E7A-45E2-847D-84574973B2F3}"/>
    <cellStyle name="Normal 4 2 2 3 2 3 6 3" xfId="11068" xr:uid="{37C813D2-1758-4930-A8D7-3CD52641DEE5}"/>
    <cellStyle name="Normal 4 2 2 3 2 3 7" xfId="4721" xr:uid="{00000000-0005-0000-0000-000030120000}"/>
    <cellStyle name="Normal 4 2 2 3 2 3 7 2" xfId="13216" xr:uid="{B8B93896-2164-49C4-87FD-C90A39F01356}"/>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71" xr:uid="{9169C77C-F474-4D6D-AADE-3867595F7950}"/>
    <cellStyle name="Normal 4 2 2 3 2 4 2 3" xfId="11558" xr:uid="{F94AB273-B3D2-4E9C-89C9-ACB53FAAA464}"/>
    <cellStyle name="Normal 4 2 2 3 2 4 3" xfId="5131" xr:uid="{00000000-0005-0000-0000-000034120000}"/>
    <cellStyle name="Normal 4 2 2 3 2 4 3 2" xfId="13626" xr:uid="{C2F409D5-3682-495B-B256-7D6ACF24EB5F}"/>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84" xr:uid="{9859F828-9F15-4C4F-97BD-23BE6B2736DF}"/>
    <cellStyle name="Normal 4 2 2 3 2 5 2 3" xfId="11971" xr:uid="{E8AC65CB-59F2-40C5-97B6-22DD5F1B42A1}"/>
    <cellStyle name="Normal 4 2 2 3 2 5 3" xfId="5544" xr:uid="{00000000-0005-0000-0000-000038120000}"/>
    <cellStyle name="Normal 4 2 2 3 2 5 3 2" xfId="14039" xr:uid="{2B58C9BE-58A8-47CB-B620-614F2157DC3A}"/>
    <cellStyle name="Normal 4 2 2 3 2 5 4" xfId="9826" xr:uid="{09491787-07DA-452A-BA62-F7EC72D6740D}"/>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97" xr:uid="{183763CB-ACBA-49A9-97A8-488F112567D5}"/>
    <cellStyle name="Normal 4 2 2 3 2 6 2 3" xfId="12384" xr:uid="{19B93D2D-A457-4953-B84B-5B97578CAF74}"/>
    <cellStyle name="Normal 4 2 2 3 2 6 3" xfId="5957" xr:uid="{00000000-0005-0000-0000-00003C120000}"/>
    <cellStyle name="Normal 4 2 2 3 2 6 3 2" xfId="14452" xr:uid="{ECED1B3F-F18D-45CF-89A6-17DC0A9890D6}"/>
    <cellStyle name="Normal 4 2 2 3 2 6 4" xfId="10239" xr:uid="{1DB4C8B0-A523-4CC8-80DB-524A5CD7336F}"/>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010" xr:uid="{9BA54176-6854-46BD-A652-68CC89CA2B0A}"/>
    <cellStyle name="Normal 4 2 2 3 2 7 2 3" xfId="12797" xr:uid="{05251BC4-101E-406C-816F-DF753BF85BD2}"/>
    <cellStyle name="Normal 4 2 2 3 2 7 3" xfId="6370" xr:uid="{00000000-0005-0000-0000-000040120000}"/>
    <cellStyle name="Normal 4 2 2 3 2 7 3 2" xfId="14865" xr:uid="{07782F2F-DE93-4E0F-88CB-3FD857014839}"/>
    <cellStyle name="Normal 4 2 2 3 2 7 4" xfId="10652" xr:uid="{AEFD3188-E336-44DC-8FFD-75B9D4A29DE5}"/>
    <cellStyle name="Normal 4 2 2 3 2 8" xfId="2500" xr:uid="{00000000-0005-0000-0000-000041120000}"/>
    <cellStyle name="Normal 4 2 2 3 2 8 2" xfId="6783" xr:uid="{00000000-0005-0000-0000-000042120000}"/>
    <cellStyle name="Normal 4 2 2 3 2 8 2 2" xfId="15278" xr:uid="{1922F17D-2733-4FA3-BDCE-6EAC504DE086}"/>
    <cellStyle name="Normal 4 2 2 3 2 8 3" xfId="11065" xr:uid="{88A4A547-2E40-4C2D-8D71-FAF753F15214}"/>
    <cellStyle name="Normal 4 2 2 3 2 9" xfId="4718" xr:uid="{00000000-0005-0000-0000-000043120000}"/>
    <cellStyle name="Normal 4 2 2 3 2 9 2" xfId="13213" xr:uid="{4629CFE0-8A8F-4ADC-BDA4-8B858826D1AE}"/>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76" xr:uid="{AA639FB2-7E96-47DA-A744-72B448137C93}"/>
    <cellStyle name="Normal 4 2 2 3 3 2 2 2 3" xfId="11563" xr:uid="{9217078B-2FD6-4DA6-9AFB-4B1363584CD1}"/>
    <cellStyle name="Normal 4 2 2 3 3 2 2 3" xfId="5136" xr:uid="{00000000-0005-0000-0000-000049120000}"/>
    <cellStyle name="Normal 4 2 2 3 3 2 2 3 2" xfId="13631" xr:uid="{DD36EDAF-865A-4EBC-B43C-F4FB89DF9981}"/>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89" xr:uid="{FA766A17-C37F-4CAB-8541-3CDE9881165E}"/>
    <cellStyle name="Normal 4 2 2 3 3 2 3 2 3" xfId="11976" xr:uid="{7F34A788-F029-487C-A3AD-3582B9B04794}"/>
    <cellStyle name="Normal 4 2 2 3 3 2 3 3" xfId="5549" xr:uid="{00000000-0005-0000-0000-00004D120000}"/>
    <cellStyle name="Normal 4 2 2 3 3 2 3 3 2" xfId="14044" xr:uid="{80353D00-CA1F-404D-89F0-AC89776F8E16}"/>
    <cellStyle name="Normal 4 2 2 3 3 2 3 4" xfId="9831" xr:uid="{67C42D9D-119E-4E9C-B3A1-D6B6E30927F9}"/>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602" xr:uid="{CE5D5F78-8ACE-4A42-929F-537F381B36C0}"/>
    <cellStyle name="Normal 4 2 2 3 3 2 4 2 3" xfId="12389" xr:uid="{B430D2EE-77A7-4503-8B3B-083F6E5B9CA0}"/>
    <cellStyle name="Normal 4 2 2 3 3 2 4 3" xfId="5962" xr:uid="{00000000-0005-0000-0000-000051120000}"/>
    <cellStyle name="Normal 4 2 2 3 3 2 4 3 2" xfId="14457" xr:uid="{A3D0CCFC-E54D-4A1A-BCCA-38007715D962}"/>
    <cellStyle name="Normal 4 2 2 3 3 2 4 4" xfId="10244" xr:uid="{25D9A7B1-301E-4ADF-B222-BB4B74BDDCAB}"/>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015" xr:uid="{6CCCD503-5F42-4496-9677-8F4654A6CF39}"/>
    <cellStyle name="Normal 4 2 2 3 3 2 5 2 3" xfId="12802" xr:uid="{886D4288-CCD0-4B94-AAE2-55AF39A77253}"/>
    <cellStyle name="Normal 4 2 2 3 3 2 5 3" xfId="6375" xr:uid="{00000000-0005-0000-0000-000055120000}"/>
    <cellStyle name="Normal 4 2 2 3 3 2 5 3 2" xfId="14870" xr:uid="{66BB5B47-28FD-4537-B508-0B5DD5AB6697}"/>
    <cellStyle name="Normal 4 2 2 3 3 2 5 4" xfId="10657" xr:uid="{6B4614C1-64FA-4AFC-B41F-8F80F665F14B}"/>
    <cellStyle name="Normal 4 2 2 3 3 2 6" xfId="2505" xr:uid="{00000000-0005-0000-0000-000056120000}"/>
    <cellStyle name="Normal 4 2 2 3 3 2 6 2" xfId="6788" xr:uid="{00000000-0005-0000-0000-000057120000}"/>
    <cellStyle name="Normal 4 2 2 3 3 2 6 2 2" xfId="15283" xr:uid="{D064C064-C794-4DC3-9772-ECD09B691A96}"/>
    <cellStyle name="Normal 4 2 2 3 3 2 6 3" xfId="11070" xr:uid="{5DBF53DE-A6E7-4318-B5B7-A4D10F775583}"/>
    <cellStyle name="Normal 4 2 2 3 3 2 7" xfId="4723" xr:uid="{00000000-0005-0000-0000-000058120000}"/>
    <cellStyle name="Normal 4 2 2 3 3 2 7 2" xfId="13218" xr:uid="{A691E394-9271-47A4-B40F-AC080B21B519}"/>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75" xr:uid="{67B8DDA8-DAFE-458B-8068-F3B3F71AD8CF}"/>
    <cellStyle name="Normal 4 2 2 3 3 3 2 3" xfId="11562" xr:uid="{0F2DC19E-EB83-410D-9F08-341BCA4F5DBA}"/>
    <cellStyle name="Normal 4 2 2 3 3 3 3" xfId="5135" xr:uid="{00000000-0005-0000-0000-00005C120000}"/>
    <cellStyle name="Normal 4 2 2 3 3 3 3 2" xfId="13630" xr:uid="{77AA2BCB-1D08-4B24-A85E-591137440D6A}"/>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88" xr:uid="{D8629F51-64E2-4C1D-AFF2-26B828186CD3}"/>
    <cellStyle name="Normal 4 2 2 3 3 4 2 3" xfId="11975" xr:uid="{68C868A1-0B98-4D65-AEFE-49252C643BDB}"/>
    <cellStyle name="Normal 4 2 2 3 3 4 3" xfId="5548" xr:uid="{00000000-0005-0000-0000-000060120000}"/>
    <cellStyle name="Normal 4 2 2 3 3 4 3 2" xfId="14043" xr:uid="{AAA56D1A-7049-4745-984A-24B8C87161AD}"/>
    <cellStyle name="Normal 4 2 2 3 3 4 4" xfId="9830" xr:uid="{6637CA44-021F-4D75-9B13-9E310AE9E01A}"/>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601" xr:uid="{3DA9720E-394A-41FE-A649-33B719C043C7}"/>
    <cellStyle name="Normal 4 2 2 3 3 5 2 3" xfId="12388" xr:uid="{C54A92AF-53D8-4F4E-9999-B9D1CD67742A}"/>
    <cellStyle name="Normal 4 2 2 3 3 5 3" xfId="5961" xr:uid="{00000000-0005-0000-0000-000064120000}"/>
    <cellStyle name="Normal 4 2 2 3 3 5 3 2" xfId="14456" xr:uid="{CE9AD9AE-39A3-4BE8-A6CB-4CA5D813DC0D}"/>
    <cellStyle name="Normal 4 2 2 3 3 5 4" xfId="10243" xr:uid="{BC98DDE4-7AAC-4EDF-9301-6540BF500CDC}"/>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014" xr:uid="{E9F06715-3647-429F-8228-998BA19C5361}"/>
    <cellStyle name="Normal 4 2 2 3 3 6 2 3" xfId="12801" xr:uid="{C2F235AB-4A53-4C37-A597-609AEC66ED90}"/>
    <cellStyle name="Normal 4 2 2 3 3 6 3" xfId="6374" xr:uid="{00000000-0005-0000-0000-000068120000}"/>
    <cellStyle name="Normal 4 2 2 3 3 6 3 2" xfId="14869" xr:uid="{21275B32-487E-49D9-8137-E4D472C1DB06}"/>
    <cellStyle name="Normal 4 2 2 3 3 6 4" xfId="10656" xr:uid="{F6E0D04A-732F-4A7C-8B0F-03C8EFD7A7D7}"/>
    <cellStyle name="Normal 4 2 2 3 3 7" xfId="2504" xr:uid="{00000000-0005-0000-0000-000069120000}"/>
    <cellStyle name="Normal 4 2 2 3 3 7 2" xfId="6787" xr:uid="{00000000-0005-0000-0000-00006A120000}"/>
    <cellStyle name="Normal 4 2 2 3 3 7 2 2" xfId="15282" xr:uid="{AA5A49FA-90BD-4F44-BDBD-C6496A40AB4E}"/>
    <cellStyle name="Normal 4 2 2 3 3 7 3" xfId="11069" xr:uid="{4B3EE7B8-7803-4836-B4D8-0FA6C4162A0C}"/>
    <cellStyle name="Normal 4 2 2 3 3 8" xfId="4722" xr:uid="{00000000-0005-0000-0000-00006B120000}"/>
    <cellStyle name="Normal 4 2 2 3 3 8 2" xfId="13217" xr:uid="{5E1F67B2-B46B-4247-A4E2-780530531AF7}"/>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77" xr:uid="{86EF7C39-DFE8-4484-8824-7EE28C8F1F34}"/>
    <cellStyle name="Normal 4 2 2 3 4 2 2 3" xfId="11564" xr:uid="{C5516D71-9075-44F1-9493-5137E869C95C}"/>
    <cellStyle name="Normal 4 2 2 3 4 2 3" xfId="5137" xr:uid="{00000000-0005-0000-0000-000070120000}"/>
    <cellStyle name="Normal 4 2 2 3 4 2 3 2" xfId="13632" xr:uid="{D88480AC-B83F-4660-BE68-9FF0D29C6762}"/>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90" xr:uid="{A57DF0A1-8A58-4C23-A480-E9F1A93F48E4}"/>
    <cellStyle name="Normal 4 2 2 3 4 3 2 3" xfId="11977" xr:uid="{1DEE6160-DB41-4DE0-8C70-23B32D1B1E72}"/>
    <cellStyle name="Normal 4 2 2 3 4 3 3" xfId="5550" xr:uid="{00000000-0005-0000-0000-000074120000}"/>
    <cellStyle name="Normal 4 2 2 3 4 3 3 2" xfId="14045" xr:uid="{D4434A67-45D8-4D0D-BCAD-AC025603518F}"/>
    <cellStyle name="Normal 4 2 2 3 4 3 4" xfId="9832" xr:uid="{016AC892-C4D3-412F-93C4-E35503D8680F}"/>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603" xr:uid="{E6DA24B4-FA51-42F7-8486-5D8A257ED310}"/>
    <cellStyle name="Normal 4 2 2 3 4 4 2 3" xfId="12390" xr:uid="{97D85055-9DAF-4073-B2BA-8236F21B63F6}"/>
    <cellStyle name="Normal 4 2 2 3 4 4 3" xfId="5963" xr:uid="{00000000-0005-0000-0000-000078120000}"/>
    <cellStyle name="Normal 4 2 2 3 4 4 3 2" xfId="14458" xr:uid="{2F38B0B3-8067-4F5B-B6C5-3EFA3299048E}"/>
    <cellStyle name="Normal 4 2 2 3 4 4 4" xfId="10245" xr:uid="{FE27DE96-C971-4A69-A684-BDD66F2F8714}"/>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016" xr:uid="{6A6DF31F-4D63-4CEC-A982-5AB22F822E83}"/>
    <cellStyle name="Normal 4 2 2 3 4 5 2 3" xfId="12803" xr:uid="{30D241EB-3C72-4074-A093-0AE1368D22E5}"/>
    <cellStyle name="Normal 4 2 2 3 4 5 3" xfId="6376" xr:uid="{00000000-0005-0000-0000-00007C120000}"/>
    <cellStyle name="Normal 4 2 2 3 4 5 3 2" xfId="14871" xr:uid="{401A71C1-E94A-47A4-851B-4A301146E3E4}"/>
    <cellStyle name="Normal 4 2 2 3 4 5 4" xfId="10658" xr:uid="{907C685D-5C57-4BDD-AB65-A9CBCD7D3BED}"/>
    <cellStyle name="Normal 4 2 2 3 4 6" xfId="2506" xr:uid="{00000000-0005-0000-0000-00007D120000}"/>
    <cellStyle name="Normal 4 2 2 3 4 6 2" xfId="6789" xr:uid="{00000000-0005-0000-0000-00007E120000}"/>
    <cellStyle name="Normal 4 2 2 3 4 6 2 2" xfId="15284" xr:uid="{2490C419-5591-48F1-92D6-B7E6AFD77932}"/>
    <cellStyle name="Normal 4 2 2 3 4 6 3" xfId="11071" xr:uid="{ED0CC3BF-51F4-4686-8A28-C929BED2A62A}"/>
    <cellStyle name="Normal 4 2 2 3 4 7" xfId="4724" xr:uid="{00000000-0005-0000-0000-00007F120000}"/>
    <cellStyle name="Normal 4 2 2 3 4 7 2" xfId="13219" xr:uid="{E32C4BD8-59A4-47E1-A6A4-D449E13A255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70" xr:uid="{1114B0C6-7EE6-4636-A234-FA6194001D91}"/>
    <cellStyle name="Normal 4 2 2 3 5 2 3" xfId="11557" xr:uid="{038F1D01-211C-477F-9628-8328F2286392}"/>
    <cellStyle name="Normal 4 2 2 3 5 3" xfId="5130" xr:uid="{00000000-0005-0000-0000-000083120000}"/>
    <cellStyle name="Normal 4 2 2 3 5 3 2" xfId="13625" xr:uid="{18FBCC49-9CAE-46EB-B090-2BE3665E8B65}"/>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83" xr:uid="{5D0439E0-9F01-44F3-8BA0-66255DE15A42}"/>
    <cellStyle name="Normal 4 2 2 3 6 2 3" xfId="11970" xr:uid="{E3B96FE1-894E-441F-B814-203B3B5BE39E}"/>
    <cellStyle name="Normal 4 2 2 3 6 3" xfId="5543" xr:uid="{00000000-0005-0000-0000-000087120000}"/>
    <cellStyle name="Normal 4 2 2 3 6 3 2" xfId="14038" xr:uid="{BFD1E921-215F-4E79-95A2-B27F71688BF5}"/>
    <cellStyle name="Normal 4 2 2 3 6 4" xfId="9825" xr:uid="{4A44BA3B-B351-460B-8CF9-36A28CF8D28F}"/>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96" xr:uid="{25256598-374B-40BE-A905-4A4ED949CF37}"/>
    <cellStyle name="Normal 4 2 2 3 7 2 3" xfId="12383" xr:uid="{37195765-831C-4BBE-82DA-C718ADB7B491}"/>
    <cellStyle name="Normal 4 2 2 3 7 3" xfId="5956" xr:uid="{00000000-0005-0000-0000-00008B120000}"/>
    <cellStyle name="Normal 4 2 2 3 7 3 2" xfId="14451" xr:uid="{0003C954-530E-4EB2-B24C-4FE54E1D00E3}"/>
    <cellStyle name="Normal 4 2 2 3 7 4" xfId="10238" xr:uid="{9D1C39DE-E2A7-4633-AFDC-C43E11E4B0E5}"/>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009" xr:uid="{E977695F-9E1F-4FA5-BE1D-B51E80A9D216}"/>
    <cellStyle name="Normal 4 2 2 3 8 2 3" xfId="12796" xr:uid="{08201E8E-AC7F-4333-9527-3BD06EADA646}"/>
    <cellStyle name="Normal 4 2 2 3 8 3" xfId="6369" xr:uid="{00000000-0005-0000-0000-00008F120000}"/>
    <cellStyle name="Normal 4 2 2 3 8 3 2" xfId="14864" xr:uid="{24CD703C-337F-4FFE-9523-D3087AAF74A9}"/>
    <cellStyle name="Normal 4 2 2 3 8 4" xfId="10651" xr:uid="{16BFBF0D-82E6-4661-8CAE-B806EE177C58}"/>
    <cellStyle name="Normal 4 2 2 3 9" xfId="2499" xr:uid="{00000000-0005-0000-0000-000090120000}"/>
    <cellStyle name="Normal 4 2 2 3 9 2" xfId="6782" xr:uid="{00000000-0005-0000-0000-000091120000}"/>
    <cellStyle name="Normal 4 2 2 3 9 2 2" xfId="15277" xr:uid="{44BB98EA-0420-479F-B642-06D24183D86B}"/>
    <cellStyle name="Normal 4 2 2 3 9 3" xfId="11064" xr:uid="{1D6D7B85-BED1-42C6-BC02-3D09CEB4AFE9}"/>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80" xr:uid="{B23F56C4-1C3F-4EB2-81C2-56AE14735534}"/>
    <cellStyle name="Normal 4 2 2 4 2 2 2 2 3" xfId="11567" xr:uid="{FC7E3464-C16D-4B85-AC12-AD7CDD7694DC}"/>
    <cellStyle name="Normal 4 2 2 4 2 2 2 3" xfId="5140" xr:uid="{00000000-0005-0000-0000-000098120000}"/>
    <cellStyle name="Normal 4 2 2 4 2 2 2 3 2" xfId="13635" xr:uid="{AB4C2E85-8090-4F9B-9E49-B6EBED301537}"/>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93" xr:uid="{AEE2058E-A709-4543-8FE5-1D92DE938910}"/>
    <cellStyle name="Normal 4 2 2 4 2 2 3 2 3" xfId="11980" xr:uid="{859DB1DC-D6A8-4866-B6C7-67F037CAF056}"/>
    <cellStyle name="Normal 4 2 2 4 2 2 3 3" xfId="5553" xr:uid="{00000000-0005-0000-0000-00009C120000}"/>
    <cellStyle name="Normal 4 2 2 4 2 2 3 3 2" xfId="14048" xr:uid="{C3FE498C-D73D-4494-B2CC-92D5F0856497}"/>
    <cellStyle name="Normal 4 2 2 4 2 2 3 4" xfId="9835" xr:uid="{A57BFDBC-D366-494C-B781-B7A74A7EF39E}"/>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606" xr:uid="{4F106A0F-E3FD-4086-BA60-19A4E34693FA}"/>
    <cellStyle name="Normal 4 2 2 4 2 2 4 2 3" xfId="12393" xr:uid="{0DB2C565-1559-45AA-BCE7-BEFE7038B884}"/>
    <cellStyle name="Normal 4 2 2 4 2 2 4 3" xfId="5966" xr:uid="{00000000-0005-0000-0000-0000A0120000}"/>
    <cellStyle name="Normal 4 2 2 4 2 2 4 3 2" xfId="14461" xr:uid="{FA283A2E-3CA1-48E4-9478-5E4FAD6864EF}"/>
    <cellStyle name="Normal 4 2 2 4 2 2 4 4" xfId="10248" xr:uid="{57071AC4-C117-40BD-9472-6BC4A5151DFE}"/>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019" xr:uid="{56145D8B-B72E-464F-9D7A-FB8FB3176FBA}"/>
    <cellStyle name="Normal 4 2 2 4 2 2 5 2 3" xfId="12806" xr:uid="{33E00CE8-DA9B-4BE0-B54E-702CC9F2DFB5}"/>
    <cellStyle name="Normal 4 2 2 4 2 2 5 3" xfId="6379" xr:uid="{00000000-0005-0000-0000-0000A4120000}"/>
    <cellStyle name="Normal 4 2 2 4 2 2 5 3 2" xfId="14874" xr:uid="{8E8F7A68-8775-4D35-A8F3-5DD7BD0931E1}"/>
    <cellStyle name="Normal 4 2 2 4 2 2 5 4" xfId="10661" xr:uid="{8C9E04E7-C27B-4372-92C8-C90F4EB89CB1}"/>
    <cellStyle name="Normal 4 2 2 4 2 2 6" xfId="2509" xr:uid="{00000000-0005-0000-0000-0000A5120000}"/>
    <cellStyle name="Normal 4 2 2 4 2 2 6 2" xfId="6792" xr:uid="{00000000-0005-0000-0000-0000A6120000}"/>
    <cellStyle name="Normal 4 2 2 4 2 2 6 2 2" xfId="15287" xr:uid="{1EEDA0B7-4323-482A-AC1C-1E0705E391A8}"/>
    <cellStyle name="Normal 4 2 2 4 2 2 6 3" xfId="11074" xr:uid="{1BA72484-041E-4AEF-964A-4406964C214F}"/>
    <cellStyle name="Normal 4 2 2 4 2 2 7" xfId="4727" xr:uid="{00000000-0005-0000-0000-0000A7120000}"/>
    <cellStyle name="Normal 4 2 2 4 2 2 7 2" xfId="13222" xr:uid="{9EB80830-2955-40B8-859E-221BA2212CF7}"/>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79" xr:uid="{662622A4-703F-4691-9C67-95796009CF26}"/>
    <cellStyle name="Normal 4 2 2 4 2 3 2 3" xfId="11566" xr:uid="{109F2470-4A95-434A-A51E-525330439F31}"/>
    <cellStyle name="Normal 4 2 2 4 2 3 3" xfId="5139" xr:uid="{00000000-0005-0000-0000-0000AB120000}"/>
    <cellStyle name="Normal 4 2 2 4 2 3 3 2" xfId="13634" xr:uid="{59300DA6-1591-4D1C-99F2-17C56A68D3B5}"/>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92" xr:uid="{5D44BD7F-538D-4AA3-B79D-962A04CB39B1}"/>
    <cellStyle name="Normal 4 2 2 4 2 4 2 3" xfId="11979" xr:uid="{5B340FA0-64B7-4461-BD12-EE11FE9D8A3E}"/>
    <cellStyle name="Normal 4 2 2 4 2 4 3" xfId="5552" xr:uid="{00000000-0005-0000-0000-0000AF120000}"/>
    <cellStyle name="Normal 4 2 2 4 2 4 3 2" xfId="14047" xr:uid="{D7D91757-8408-4893-B766-7E6213F37D93}"/>
    <cellStyle name="Normal 4 2 2 4 2 4 4" xfId="9834" xr:uid="{0104F6C0-314E-4657-849D-F8304773491D}"/>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605" xr:uid="{05B39FF6-993F-4616-9317-979B916A2839}"/>
    <cellStyle name="Normal 4 2 2 4 2 5 2 3" xfId="12392" xr:uid="{2CF5FAA4-9B0A-4373-A242-1373D59CADCD}"/>
    <cellStyle name="Normal 4 2 2 4 2 5 3" xfId="5965" xr:uid="{00000000-0005-0000-0000-0000B3120000}"/>
    <cellStyle name="Normal 4 2 2 4 2 5 3 2" xfId="14460" xr:uid="{D85FF8F3-862B-44C0-ADEF-D02BD1825D30}"/>
    <cellStyle name="Normal 4 2 2 4 2 5 4" xfId="10247" xr:uid="{8C507FA7-D63F-491F-A98E-35330AD737A2}"/>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018" xr:uid="{F8E75344-EE87-4CED-8BF9-F452C5241D61}"/>
    <cellStyle name="Normal 4 2 2 4 2 6 2 3" xfId="12805" xr:uid="{389F4AD6-EE52-48D7-8B6F-215578993B57}"/>
    <cellStyle name="Normal 4 2 2 4 2 6 3" xfId="6378" xr:uid="{00000000-0005-0000-0000-0000B7120000}"/>
    <cellStyle name="Normal 4 2 2 4 2 6 3 2" xfId="14873" xr:uid="{6369E293-3C16-45D6-9EC8-F76AE0C346B3}"/>
    <cellStyle name="Normal 4 2 2 4 2 6 4" xfId="10660" xr:uid="{CCEDA3E2-54E4-48EE-88D9-C6563008387E}"/>
    <cellStyle name="Normal 4 2 2 4 2 7" xfId="2508" xr:uid="{00000000-0005-0000-0000-0000B8120000}"/>
    <cellStyle name="Normal 4 2 2 4 2 7 2" xfId="6791" xr:uid="{00000000-0005-0000-0000-0000B9120000}"/>
    <cellStyle name="Normal 4 2 2 4 2 7 2 2" xfId="15286" xr:uid="{53074370-1697-4F8C-9E95-B20407619A85}"/>
    <cellStyle name="Normal 4 2 2 4 2 7 3" xfId="11073" xr:uid="{D81FDC25-D089-4613-AEFC-207FD9F5E096}"/>
    <cellStyle name="Normal 4 2 2 4 2 8" xfId="4726" xr:uid="{00000000-0005-0000-0000-0000BA120000}"/>
    <cellStyle name="Normal 4 2 2 4 2 8 2" xfId="13221" xr:uid="{F9E371D1-B5BE-4EE9-97E9-070A8D402C1C}"/>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81" xr:uid="{E18C53B5-B155-420D-BA06-67EC15993F2D}"/>
    <cellStyle name="Normal 4 2 2 4 3 2 2 3" xfId="11568" xr:uid="{10CC321D-CCDD-4DB8-888C-ED7B5089035B}"/>
    <cellStyle name="Normal 4 2 2 4 3 2 3" xfId="5141" xr:uid="{00000000-0005-0000-0000-0000BF120000}"/>
    <cellStyle name="Normal 4 2 2 4 3 2 3 2" xfId="13636" xr:uid="{37FD90E1-B7B3-48CD-8F61-E0D37CDE70BE}"/>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94" xr:uid="{5F659A49-7D52-4FC8-8C63-053A3D743006}"/>
    <cellStyle name="Normal 4 2 2 4 3 3 2 3" xfId="11981" xr:uid="{1707C08E-2535-42C7-B790-435A1F158614}"/>
    <cellStyle name="Normal 4 2 2 4 3 3 3" xfId="5554" xr:uid="{00000000-0005-0000-0000-0000C3120000}"/>
    <cellStyle name="Normal 4 2 2 4 3 3 3 2" xfId="14049" xr:uid="{8D0749CC-AE06-46EF-BDF9-20EA7FBF6535}"/>
    <cellStyle name="Normal 4 2 2 4 3 3 4" xfId="9836" xr:uid="{430DBF09-9CC4-4134-8C47-11C7F01D916F}"/>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607" xr:uid="{5668BD9E-B9C1-471E-A721-262773EEEEA2}"/>
    <cellStyle name="Normal 4 2 2 4 3 4 2 3" xfId="12394" xr:uid="{F407364E-EA8E-41B8-8BDB-FA43B395DDAC}"/>
    <cellStyle name="Normal 4 2 2 4 3 4 3" xfId="5967" xr:uid="{00000000-0005-0000-0000-0000C7120000}"/>
    <cellStyle name="Normal 4 2 2 4 3 4 3 2" xfId="14462" xr:uid="{DC4DFF99-462B-40CF-8134-95D726E6CAE7}"/>
    <cellStyle name="Normal 4 2 2 4 3 4 4" xfId="10249" xr:uid="{B84064F8-0B27-49B5-8C95-CC4C28E74359}"/>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020" xr:uid="{46DE7100-8F2D-4211-9E61-DB5BDAF3B4B3}"/>
    <cellStyle name="Normal 4 2 2 4 3 5 2 3" xfId="12807" xr:uid="{CD5226C8-EB48-499B-8E32-170AE6ACEDF2}"/>
    <cellStyle name="Normal 4 2 2 4 3 5 3" xfId="6380" xr:uid="{00000000-0005-0000-0000-0000CB120000}"/>
    <cellStyle name="Normal 4 2 2 4 3 5 3 2" xfId="14875" xr:uid="{3C9BF8A8-48D4-4885-90A9-12A89799B452}"/>
    <cellStyle name="Normal 4 2 2 4 3 5 4" xfId="10662" xr:uid="{37DA5F35-5B25-4F7F-B068-344CB3739ACE}"/>
    <cellStyle name="Normal 4 2 2 4 3 6" xfId="2510" xr:uid="{00000000-0005-0000-0000-0000CC120000}"/>
    <cellStyle name="Normal 4 2 2 4 3 6 2" xfId="6793" xr:uid="{00000000-0005-0000-0000-0000CD120000}"/>
    <cellStyle name="Normal 4 2 2 4 3 6 2 2" xfId="15288" xr:uid="{205E178B-77F5-4AB5-8B3D-0F003DC1275B}"/>
    <cellStyle name="Normal 4 2 2 4 3 6 3" xfId="11075" xr:uid="{4195E65E-0ADF-43C5-B711-35BEF07574CA}"/>
    <cellStyle name="Normal 4 2 2 4 3 7" xfId="4728" xr:uid="{00000000-0005-0000-0000-0000CE120000}"/>
    <cellStyle name="Normal 4 2 2 4 3 7 2" xfId="13223" xr:uid="{2F933B00-DC91-451B-ABAE-622DB35F7398}"/>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78" xr:uid="{E2EFFB00-3D62-450E-8156-E3689B445D5C}"/>
    <cellStyle name="Normal 4 2 2 4 4 2 3" xfId="11565" xr:uid="{1F60CAFF-B3D5-4D2C-AFAB-BE1841034A76}"/>
    <cellStyle name="Normal 4 2 2 4 4 3" xfId="5138" xr:uid="{00000000-0005-0000-0000-0000D2120000}"/>
    <cellStyle name="Normal 4 2 2 4 4 3 2" xfId="13633" xr:uid="{1A43A2B5-D6EA-4EA0-B7D9-76E5880C1E72}"/>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91" xr:uid="{B64E8D64-E406-4526-B884-E5CFA9CFBABB}"/>
    <cellStyle name="Normal 4 2 2 4 5 2 3" xfId="11978" xr:uid="{203F9ACD-BD4E-4512-826F-45D28CDC12FD}"/>
    <cellStyle name="Normal 4 2 2 4 5 3" xfId="5551" xr:uid="{00000000-0005-0000-0000-0000D6120000}"/>
    <cellStyle name="Normal 4 2 2 4 5 3 2" xfId="14046" xr:uid="{EA2B9C19-069B-48E5-861A-22E5B83648EC}"/>
    <cellStyle name="Normal 4 2 2 4 5 4" xfId="9833" xr:uid="{1399EE54-E338-4B51-95DC-18F40E2633BE}"/>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604" xr:uid="{15E2230E-B33E-40D0-9051-F777BB1D2FAC}"/>
    <cellStyle name="Normal 4 2 2 4 6 2 3" xfId="12391" xr:uid="{22CE6FED-96BC-4546-9AFF-ADA41DFEC158}"/>
    <cellStyle name="Normal 4 2 2 4 6 3" xfId="5964" xr:uid="{00000000-0005-0000-0000-0000DA120000}"/>
    <cellStyle name="Normal 4 2 2 4 6 3 2" xfId="14459" xr:uid="{273F33E2-1115-46BF-B6DC-338289A892E6}"/>
    <cellStyle name="Normal 4 2 2 4 6 4" xfId="10246" xr:uid="{2E6459CE-5210-42E1-9BCA-6D44D1CE554C}"/>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017" xr:uid="{3DBEE988-7472-4A88-B9B2-9A837E82C1D0}"/>
    <cellStyle name="Normal 4 2 2 4 7 2 3" xfId="12804" xr:uid="{7D24CAFC-7D9A-4396-837C-3AEE4C8846BA}"/>
    <cellStyle name="Normal 4 2 2 4 7 3" xfId="6377" xr:uid="{00000000-0005-0000-0000-0000DE120000}"/>
    <cellStyle name="Normal 4 2 2 4 7 3 2" xfId="14872" xr:uid="{624CFD06-64DB-4BF2-AB14-3D50091FB0F2}"/>
    <cellStyle name="Normal 4 2 2 4 7 4" xfId="10659" xr:uid="{E2E3675D-10B3-4056-9246-1464778E1C46}"/>
    <cellStyle name="Normal 4 2 2 4 8" xfId="2507" xr:uid="{00000000-0005-0000-0000-0000DF120000}"/>
    <cellStyle name="Normal 4 2 2 4 8 2" xfId="6790" xr:uid="{00000000-0005-0000-0000-0000E0120000}"/>
    <cellStyle name="Normal 4 2 2 4 8 2 2" xfId="15285" xr:uid="{49E9306A-272D-4BE9-B37A-AFA41D895695}"/>
    <cellStyle name="Normal 4 2 2 4 8 3" xfId="11072" xr:uid="{7D378C0C-7569-4EB6-98DE-8ECFDD8B3208}"/>
    <cellStyle name="Normal 4 2 2 4 9" xfId="4725" xr:uid="{00000000-0005-0000-0000-0000E1120000}"/>
    <cellStyle name="Normal 4 2 2 4 9 2" xfId="13220" xr:uid="{4D862A4E-EB06-400D-86CD-AA6CE10B9DE7}"/>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83" xr:uid="{A26EFA92-AF0E-42E5-9EBE-27304C33DDD6}"/>
    <cellStyle name="Normal 4 2 2 5 2 2 2 3" xfId="11570" xr:uid="{1F0F9EE5-B3BA-48EE-9714-A90C72E4F469}"/>
    <cellStyle name="Normal 4 2 2 5 2 2 3" xfId="5143" xr:uid="{00000000-0005-0000-0000-0000E7120000}"/>
    <cellStyle name="Normal 4 2 2 5 2 2 3 2" xfId="13638" xr:uid="{B96C4C86-055F-431F-A2D6-10DED4270236}"/>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96" xr:uid="{023209A3-3CE3-43B5-A584-EDF6450C3CCF}"/>
    <cellStyle name="Normal 4 2 2 5 2 3 2 3" xfId="11983" xr:uid="{6D77D9E9-589F-4D9B-83AB-FBD92C4BB096}"/>
    <cellStyle name="Normal 4 2 2 5 2 3 3" xfId="5556" xr:uid="{00000000-0005-0000-0000-0000EB120000}"/>
    <cellStyle name="Normal 4 2 2 5 2 3 3 2" xfId="14051" xr:uid="{D79C3D84-5841-41B5-9B5C-9D1F919D84FB}"/>
    <cellStyle name="Normal 4 2 2 5 2 3 4" xfId="9838" xr:uid="{5951EB23-04F6-4C7E-BDFF-CBD632890BA2}"/>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609" xr:uid="{82AA59D1-407D-44A9-BA49-D43CFCBF51A7}"/>
    <cellStyle name="Normal 4 2 2 5 2 4 2 3" xfId="12396" xr:uid="{BEDC583D-65EE-4BF5-AE22-6633764853F4}"/>
    <cellStyle name="Normal 4 2 2 5 2 4 3" xfId="5969" xr:uid="{00000000-0005-0000-0000-0000EF120000}"/>
    <cellStyle name="Normal 4 2 2 5 2 4 3 2" xfId="14464" xr:uid="{053194AD-8501-4DD3-A4BA-8216A042D08F}"/>
    <cellStyle name="Normal 4 2 2 5 2 4 4" xfId="10251" xr:uid="{76F3A163-8314-4BBA-81D4-5E7A620EC4B6}"/>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022" xr:uid="{7D6D7BB3-DA10-414F-8E6B-EAE23D3CC82E}"/>
    <cellStyle name="Normal 4 2 2 5 2 5 2 3" xfId="12809" xr:uid="{69ED83B9-2EAF-41E4-90FB-D70B1ACAB5FC}"/>
    <cellStyle name="Normal 4 2 2 5 2 5 3" xfId="6382" xr:uid="{00000000-0005-0000-0000-0000F3120000}"/>
    <cellStyle name="Normal 4 2 2 5 2 5 3 2" xfId="14877" xr:uid="{F822B870-B98C-441F-94DF-FC874D6FFADE}"/>
    <cellStyle name="Normal 4 2 2 5 2 5 4" xfId="10664" xr:uid="{649E6D80-5F01-4400-9610-AB297D8D2BC6}"/>
    <cellStyle name="Normal 4 2 2 5 2 6" xfId="2512" xr:uid="{00000000-0005-0000-0000-0000F4120000}"/>
    <cellStyle name="Normal 4 2 2 5 2 6 2" xfId="6795" xr:uid="{00000000-0005-0000-0000-0000F5120000}"/>
    <cellStyle name="Normal 4 2 2 5 2 6 2 2" xfId="15290" xr:uid="{A7D83E4F-7613-4273-9EB8-C4D96C6B5DFB}"/>
    <cellStyle name="Normal 4 2 2 5 2 6 3" xfId="11077" xr:uid="{8E857CBD-9F74-480C-A304-089AF118C0C4}"/>
    <cellStyle name="Normal 4 2 2 5 2 7" xfId="4730" xr:uid="{00000000-0005-0000-0000-0000F6120000}"/>
    <cellStyle name="Normal 4 2 2 5 2 7 2" xfId="13225" xr:uid="{B4DC4A40-6538-430F-B91E-39C8D8196BF3}"/>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82" xr:uid="{75CD2E8A-1B21-4D69-9597-8ED4B57EE71A}"/>
    <cellStyle name="Normal 4 2 2 5 3 2 3" xfId="11569" xr:uid="{293623FD-8332-48FA-B26A-B18085751A55}"/>
    <cellStyle name="Normal 4 2 2 5 3 3" xfId="5142" xr:uid="{00000000-0005-0000-0000-0000FA120000}"/>
    <cellStyle name="Normal 4 2 2 5 3 3 2" xfId="13637" xr:uid="{4D67EEC4-F92B-4543-8305-07148A2BA2AC}"/>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95" xr:uid="{0A59FA93-FB42-4FF4-AD9D-6911580EAFCD}"/>
    <cellStyle name="Normal 4 2 2 5 4 2 3" xfId="11982" xr:uid="{8A101949-8B65-48CF-AD07-25AB92EB9CC5}"/>
    <cellStyle name="Normal 4 2 2 5 4 3" xfId="5555" xr:uid="{00000000-0005-0000-0000-0000FE120000}"/>
    <cellStyle name="Normal 4 2 2 5 4 3 2" xfId="14050" xr:uid="{83A0FA54-22A6-46DA-98F0-CB36B3B3C58C}"/>
    <cellStyle name="Normal 4 2 2 5 4 4" xfId="9837" xr:uid="{8DB6CE85-DD23-47CA-8B0A-26BC76A13B56}"/>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608" xr:uid="{82398DDB-EB8C-4C5B-B33C-9EC8C5C2DF2A}"/>
    <cellStyle name="Normal 4 2 2 5 5 2 3" xfId="12395" xr:uid="{0F138727-61CE-442A-9EF5-F3F9B26BAC81}"/>
    <cellStyle name="Normal 4 2 2 5 5 3" xfId="5968" xr:uid="{00000000-0005-0000-0000-000002130000}"/>
    <cellStyle name="Normal 4 2 2 5 5 3 2" xfId="14463" xr:uid="{FD2132AB-6018-49EA-822E-C09FF9819AEA}"/>
    <cellStyle name="Normal 4 2 2 5 5 4" xfId="10250" xr:uid="{8A5AFB0F-2802-41A6-9BA9-C856616F000D}"/>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021" xr:uid="{085F97A1-15A2-4206-9490-C8B07B523FB2}"/>
    <cellStyle name="Normal 4 2 2 5 6 2 3" xfId="12808" xr:uid="{D9FD96C0-C6F6-4772-9DCB-C58A9F9548E6}"/>
    <cellStyle name="Normal 4 2 2 5 6 3" xfId="6381" xr:uid="{00000000-0005-0000-0000-000006130000}"/>
    <cellStyle name="Normal 4 2 2 5 6 3 2" xfId="14876" xr:uid="{AECBE1E9-AFB7-4CCE-83EA-93475F713B5E}"/>
    <cellStyle name="Normal 4 2 2 5 6 4" xfId="10663" xr:uid="{9562E91E-2412-45AC-8EBC-7D9DFB5C6DB2}"/>
    <cellStyle name="Normal 4 2 2 5 7" xfId="2511" xr:uid="{00000000-0005-0000-0000-000007130000}"/>
    <cellStyle name="Normal 4 2 2 5 7 2" xfId="6794" xr:uid="{00000000-0005-0000-0000-000008130000}"/>
    <cellStyle name="Normal 4 2 2 5 7 2 2" xfId="15289" xr:uid="{E23EC4C9-E7BB-4DA5-B906-B251B714115B}"/>
    <cellStyle name="Normal 4 2 2 5 7 3" xfId="11076" xr:uid="{4A1D52C8-82A3-4CE7-A9A2-43335A4F4020}"/>
    <cellStyle name="Normal 4 2 2 5 8" xfId="4729" xr:uid="{00000000-0005-0000-0000-000009130000}"/>
    <cellStyle name="Normal 4 2 2 5 8 2" xfId="13224" xr:uid="{27DABD4C-FF9C-4272-881E-6C43E8FD37D1}"/>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84" xr:uid="{CE46BDFD-46BE-432E-8FBC-E8F3FA3E0B39}"/>
    <cellStyle name="Normal 4 2 2 6 2 2 3" xfId="11571" xr:uid="{56440682-977A-4FC9-B6A0-B0846B8620FD}"/>
    <cellStyle name="Normal 4 2 2 6 2 3" xfId="5144" xr:uid="{00000000-0005-0000-0000-00000E130000}"/>
    <cellStyle name="Normal 4 2 2 6 2 3 2" xfId="13639" xr:uid="{C5A7FCFF-E15B-42A6-AEB5-0756CACD8212}"/>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97" xr:uid="{3E29E83F-358B-428F-99F7-78FE606A6C23}"/>
    <cellStyle name="Normal 4 2 2 6 3 2 3" xfId="11984" xr:uid="{BDFB8749-4090-47CD-9D97-78FB6973DB9D}"/>
    <cellStyle name="Normal 4 2 2 6 3 3" xfId="5557" xr:uid="{00000000-0005-0000-0000-000012130000}"/>
    <cellStyle name="Normal 4 2 2 6 3 3 2" xfId="14052" xr:uid="{3A944EFE-5AA8-4B8C-B825-1BDBF8BBEF39}"/>
    <cellStyle name="Normal 4 2 2 6 3 4" xfId="9839" xr:uid="{342FF468-D81A-4A1D-9C58-3CA5C55ECD22}"/>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610" xr:uid="{9E217F7C-4B82-4341-8A73-54344838DDA3}"/>
    <cellStyle name="Normal 4 2 2 6 4 2 3" xfId="12397" xr:uid="{1CB44F9C-BB7C-4D5C-8207-C8573622B17D}"/>
    <cellStyle name="Normal 4 2 2 6 4 3" xfId="5970" xr:uid="{00000000-0005-0000-0000-000016130000}"/>
    <cellStyle name="Normal 4 2 2 6 4 3 2" xfId="14465" xr:uid="{09A8F17F-07D0-42A6-B324-C5F645845875}"/>
    <cellStyle name="Normal 4 2 2 6 4 4" xfId="10252" xr:uid="{9D8F8B4D-5646-482D-9E8C-D975B326C5B0}"/>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023" xr:uid="{9B117D89-854C-444A-ABCC-7424ED0CF52F}"/>
    <cellStyle name="Normal 4 2 2 6 5 2 3" xfId="12810" xr:uid="{0D2E37A2-0D48-4538-BD4D-E104450B18BA}"/>
    <cellStyle name="Normal 4 2 2 6 5 3" xfId="6383" xr:uid="{00000000-0005-0000-0000-00001A130000}"/>
    <cellStyle name="Normal 4 2 2 6 5 3 2" xfId="14878" xr:uid="{E36D5881-118D-4177-BA5E-1277701B9E04}"/>
    <cellStyle name="Normal 4 2 2 6 5 4" xfId="10665" xr:uid="{F5C137D9-F46A-4AE1-A2C5-BD8E1E997D70}"/>
    <cellStyle name="Normal 4 2 2 6 6" xfId="2513" xr:uid="{00000000-0005-0000-0000-00001B130000}"/>
    <cellStyle name="Normal 4 2 2 6 6 2" xfId="6796" xr:uid="{00000000-0005-0000-0000-00001C130000}"/>
    <cellStyle name="Normal 4 2 2 6 6 2 2" xfId="15291" xr:uid="{F0EFB811-0434-4B9A-BB12-EB688AA020D6}"/>
    <cellStyle name="Normal 4 2 2 6 6 3" xfId="11078" xr:uid="{911F73F7-656A-41DD-90A5-D8BAC48355BB}"/>
    <cellStyle name="Normal 4 2 2 6 7" xfId="4731" xr:uid="{00000000-0005-0000-0000-00001D130000}"/>
    <cellStyle name="Normal 4 2 2 6 7 2" xfId="13226" xr:uid="{35484049-7B98-4B96-840D-F1DD8DD3E0A4}"/>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2 2 2" xfId="15769" xr:uid="{DABA42D0-806E-4EAB-81E2-2B50A543010B}"/>
    <cellStyle name="Normal 4 2 2 7 2 3" xfId="11556" xr:uid="{F5804324-3E4B-496F-9B43-B8E0009F8A63}"/>
    <cellStyle name="Normal 4 2 2 7 3" xfId="5129" xr:uid="{00000000-0005-0000-0000-000021130000}"/>
    <cellStyle name="Normal 4 2 2 7 3 2" xfId="13624" xr:uid="{1F2AB08E-C27A-47B8-BF5E-5BB061BC6169}"/>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2 2 2" xfId="16182" xr:uid="{7F28C773-1B3E-4B67-9CA1-02E131EEC138}"/>
    <cellStyle name="Normal 4 2 2 8 2 3" xfId="11969" xr:uid="{7A0526AF-80CA-46AF-9800-C1F3516D7876}"/>
    <cellStyle name="Normal 4 2 2 8 3" xfId="5542" xr:uid="{00000000-0005-0000-0000-000025130000}"/>
    <cellStyle name="Normal 4 2 2 8 3 2" xfId="14037" xr:uid="{4B61F90F-0EB4-468E-85F9-9C71366E5F72}"/>
    <cellStyle name="Normal 4 2 2 8 4" xfId="9824" xr:uid="{FDB1A339-F434-45AB-9873-6B5637608F3B}"/>
    <cellStyle name="Normal 4 2 2 9" xfId="1648" xr:uid="{00000000-0005-0000-0000-000026130000}"/>
    <cellStyle name="Normal 4 2 2 9 2" xfId="3878" xr:uid="{00000000-0005-0000-0000-000027130000}"/>
    <cellStyle name="Normal 4 2 2 9 2 2" xfId="8100" xr:uid="{00000000-0005-0000-0000-000028130000}"/>
    <cellStyle name="Normal 4 2 2 9 2 2 2" xfId="16595" xr:uid="{E1BDF487-F02A-4C5F-A656-E3FEB2DDC19E}"/>
    <cellStyle name="Normal 4 2 2 9 2 3" xfId="12382" xr:uid="{87C830C8-1C39-4F39-AE8A-4A22FDA8C25E}"/>
    <cellStyle name="Normal 4 2 2 9 3" xfId="5955" xr:uid="{00000000-0005-0000-0000-000029130000}"/>
    <cellStyle name="Normal 4 2 2 9 3 2" xfId="14450" xr:uid="{C9D4C5D1-EC79-4A02-80A5-FC2114E175C6}"/>
    <cellStyle name="Normal 4 2 2 9 4" xfId="10237" xr:uid="{1C417C92-4DC3-4731-A62A-460F4EAEC5A0}"/>
    <cellStyle name="Normal 4 2 3" xfId="354" xr:uid="{00000000-0005-0000-0000-00002A130000}"/>
    <cellStyle name="Normal 4 2 4" xfId="355" xr:uid="{00000000-0005-0000-0000-00002B130000}"/>
    <cellStyle name="Normal 4 2 4 10" xfId="4732" xr:uid="{00000000-0005-0000-0000-00002C130000}"/>
    <cellStyle name="Normal 4 2 4 10 2" xfId="13227" xr:uid="{7C083F2B-529B-49CF-A476-E1C3DE043672}"/>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88" xr:uid="{3C612988-E6E2-41EA-970A-D9C35F63D861}"/>
    <cellStyle name="Normal 4 2 4 2 2 2 2 2 3" xfId="11575" xr:uid="{8CDCAD91-8CC8-4744-A745-44EB957EBF8B}"/>
    <cellStyle name="Normal 4 2 4 2 2 2 2 3" xfId="5148" xr:uid="{00000000-0005-0000-0000-000033130000}"/>
    <cellStyle name="Normal 4 2 4 2 2 2 2 3 2" xfId="13643" xr:uid="{793EDE6E-3DA8-44EE-AF40-75BB23B799D5}"/>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201" xr:uid="{7316EAB3-7F75-49EF-9D75-83D6F00C55DA}"/>
    <cellStyle name="Normal 4 2 4 2 2 2 3 2 3" xfId="11988" xr:uid="{F052CEDD-FE09-498A-8B08-E91F6D46795B}"/>
    <cellStyle name="Normal 4 2 4 2 2 2 3 3" xfId="5561" xr:uid="{00000000-0005-0000-0000-000037130000}"/>
    <cellStyle name="Normal 4 2 4 2 2 2 3 3 2" xfId="14056" xr:uid="{65445680-D2E4-4247-95D5-D605E0C9066F}"/>
    <cellStyle name="Normal 4 2 4 2 2 2 3 4" xfId="9843" xr:uid="{B93398B7-79AD-4164-A35C-AC9E2A04C973}"/>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614" xr:uid="{FFA1E697-9321-4A71-A0BB-D1423CA8F653}"/>
    <cellStyle name="Normal 4 2 4 2 2 2 4 2 3" xfId="12401" xr:uid="{2461DDA6-2EC5-4402-9284-1817124D40EF}"/>
    <cellStyle name="Normal 4 2 4 2 2 2 4 3" xfId="5974" xr:uid="{00000000-0005-0000-0000-00003B130000}"/>
    <cellStyle name="Normal 4 2 4 2 2 2 4 3 2" xfId="14469" xr:uid="{6EE04792-23B2-461C-AE7C-C8CC8553B5D2}"/>
    <cellStyle name="Normal 4 2 4 2 2 2 4 4" xfId="10256" xr:uid="{EA614435-D8B9-40B8-A33C-F8D394A25284}"/>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027" xr:uid="{D42478F0-88B2-4A1E-95DF-694B4A541B58}"/>
    <cellStyle name="Normal 4 2 4 2 2 2 5 2 3" xfId="12814" xr:uid="{902297A2-062A-474B-9392-43522C3F8045}"/>
    <cellStyle name="Normal 4 2 4 2 2 2 5 3" xfId="6387" xr:uid="{00000000-0005-0000-0000-00003F130000}"/>
    <cellStyle name="Normal 4 2 4 2 2 2 5 3 2" xfId="14882" xr:uid="{CF6F02AE-5236-4A23-9E30-B85E9E69159D}"/>
    <cellStyle name="Normal 4 2 4 2 2 2 5 4" xfId="10669" xr:uid="{ED3495C8-361B-4898-9E53-F1A173E6C4D1}"/>
    <cellStyle name="Normal 4 2 4 2 2 2 6" xfId="2517" xr:uid="{00000000-0005-0000-0000-000040130000}"/>
    <cellStyle name="Normal 4 2 4 2 2 2 6 2" xfId="6800" xr:uid="{00000000-0005-0000-0000-000041130000}"/>
    <cellStyle name="Normal 4 2 4 2 2 2 6 2 2" xfId="15295" xr:uid="{3CE3E22A-1359-474E-A220-9258B0F72710}"/>
    <cellStyle name="Normal 4 2 4 2 2 2 6 3" xfId="11082" xr:uid="{ACF4353F-C339-4690-AE45-0DB1F1024691}"/>
    <cellStyle name="Normal 4 2 4 2 2 2 7" xfId="4735" xr:uid="{00000000-0005-0000-0000-000042130000}"/>
    <cellStyle name="Normal 4 2 4 2 2 2 7 2" xfId="13230" xr:uid="{9B006CE3-CF10-4041-9040-08F816A3D717}"/>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87" xr:uid="{0DF3FCDB-D39C-4A87-A511-5FB1BB5E0343}"/>
    <cellStyle name="Normal 4 2 4 2 2 3 2 3" xfId="11574" xr:uid="{32F52F3C-2B50-4DA7-80E3-D7FDAE99432A}"/>
    <cellStyle name="Normal 4 2 4 2 2 3 3" xfId="5147" xr:uid="{00000000-0005-0000-0000-000046130000}"/>
    <cellStyle name="Normal 4 2 4 2 2 3 3 2" xfId="13642" xr:uid="{F3EABAA6-56C8-408A-B5FF-D5C31F32EDEE}"/>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200" xr:uid="{BA6B5501-700F-4F7C-80E4-447D8D5E864B}"/>
    <cellStyle name="Normal 4 2 4 2 2 4 2 3" xfId="11987" xr:uid="{8ACC1371-DC4A-4FE8-8EF9-FAF72D1D1BA4}"/>
    <cellStyle name="Normal 4 2 4 2 2 4 3" xfId="5560" xr:uid="{00000000-0005-0000-0000-00004A130000}"/>
    <cellStyle name="Normal 4 2 4 2 2 4 3 2" xfId="14055" xr:uid="{34F13C36-0E46-438C-BDB1-A72B03EECF5E}"/>
    <cellStyle name="Normal 4 2 4 2 2 4 4" xfId="9842" xr:uid="{EC5F8D9F-779D-41AF-AC3C-390496B3FA7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613" xr:uid="{FABE9A3E-00E1-4F37-8CB4-8D0448B5B02A}"/>
    <cellStyle name="Normal 4 2 4 2 2 5 2 3" xfId="12400" xr:uid="{355F7039-58FD-4C3F-B270-A87466D608D5}"/>
    <cellStyle name="Normal 4 2 4 2 2 5 3" xfId="5973" xr:uid="{00000000-0005-0000-0000-00004E130000}"/>
    <cellStyle name="Normal 4 2 4 2 2 5 3 2" xfId="14468" xr:uid="{83E2F9F7-7D10-4C06-8DBA-DFFDA0B87F56}"/>
    <cellStyle name="Normal 4 2 4 2 2 5 4" xfId="10255" xr:uid="{46C188DD-06BE-4FEA-8B47-A32AF6D1D2A3}"/>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026" xr:uid="{DF956E32-E948-4FE5-B74F-7A7B9A7A344E}"/>
    <cellStyle name="Normal 4 2 4 2 2 6 2 3" xfId="12813" xr:uid="{072F7667-F996-42E9-96A7-E5E04D1CC559}"/>
    <cellStyle name="Normal 4 2 4 2 2 6 3" xfId="6386" xr:uid="{00000000-0005-0000-0000-000052130000}"/>
    <cellStyle name="Normal 4 2 4 2 2 6 3 2" xfId="14881" xr:uid="{ADBF62A5-A832-498B-984A-D7FED491CBC7}"/>
    <cellStyle name="Normal 4 2 4 2 2 6 4" xfId="10668" xr:uid="{2CB0E87E-2F2A-4D8B-8F90-6E7140958D13}"/>
    <cellStyle name="Normal 4 2 4 2 2 7" xfId="2516" xr:uid="{00000000-0005-0000-0000-000053130000}"/>
    <cellStyle name="Normal 4 2 4 2 2 7 2" xfId="6799" xr:uid="{00000000-0005-0000-0000-000054130000}"/>
    <cellStyle name="Normal 4 2 4 2 2 7 2 2" xfId="15294" xr:uid="{2840B16E-9EBA-4384-B27F-A839FA47CB73}"/>
    <cellStyle name="Normal 4 2 4 2 2 7 3" xfId="11081" xr:uid="{3DB3E33F-2F4C-47D1-9FE2-D9C933BF25C6}"/>
    <cellStyle name="Normal 4 2 4 2 2 8" xfId="4734" xr:uid="{00000000-0005-0000-0000-000055130000}"/>
    <cellStyle name="Normal 4 2 4 2 2 8 2" xfId="13229" xr:uid="{E97CFB89-E7DA-4B5F-985F-63071B0FB3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89" xr:uid="{6E4393C1-01AB-4A87-A1F8-15DA3CDA55BC}"/>
    <cellStyle name="Normal 4 2 4 2 3 2 2 3" xfId="11576" xr:uid="{EB8D1B1A-8C67-4249-96EB-8B22DD11D6D1}"/>
    <cellStyle name="Normal 4 2 4 2 3 2 3" xfId="5149" xr:uid="{00000000-0005-0000-0000-00005A130000}"/>
    <cellStyle name="Normal 4 2 4 2 3 2 3 2" xfId="13644" xr:uid="{E086DB41-A100-409D-8D8C-8C271BD5CCCF}"/>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202" xr:uid="{1E341749-6AC1-4E5C-B86B-4476F78D14C0}"/>
    <cellStyle name="Normal 4 2 4 2 3 3 2 3" xfId="11989" xr:uid="{39425A50-A084-4EEB-9CDB-5111499314D2}"/>
    <cellStyle name="Normal 4 2 4 2 3 3 3" xfId="5562" xr:uid="{00000000-0005-0000-0000-00005E130000}"/>
    <cellStyle name="Normal 4 2 4 2 3 3 3 2" xfId="14057" xr:uid="{A0691055-E86F-4D0F-AFBA-7E65A7173ED1}"/>
    <cellStyle name="Normal 4 2 4 2 3 3 4" xfId="9844" xr:uid="{27C23110-D57E-4590-A679-8BB64E4152CD}"/>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615" xr:uid="{7B80B259-14C8-4DC2-9FA2-3F965BF0D7EB}"/>
    <cellStyle name="Normal 4 2 4 2 3 4 2 3" xfId="12402" xr:uid="{7A57AB6A-8CE0-476A-86CD-CBDE98303B55}"/>
    <cellStyle name="Normal 4 2 4 2 3 4 3" xfId="5975" xr:uid="{00000000-0005-0000-0000-000062130000}"/>
    <cellStyle name="Normal 4 2 4 2 3 4 3 2" xfId="14470" xr:uid="{899CA9BC-2603-4BA8-95FE-1A428200CE71}"/>
    <cellStyle name="Normal 4 2 4 2 3 4 4" xfId="10257" xr:uid="{CAAFDB80-8BF6-473F-A304-0AE4C969B132}"/>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028" xr:uid="{B2979B1F-301A-4287-86FF-98634F5E30D4}"/>
    <cellStyle name="Normal 4 2 4 2 3 5 2 3" xfId="12815" xr:uid="{3BBA1546-C75C-488D-94C5-C62E5FE1ADD6}"/>
    <cellStyle name="Normal 4 2 4 2 3 5 3" xfId="6388" xr:uid="{00000000-0005-0000-0000-000066130000}"/>
    <cellStyle name="Normal 4 2 4 2 3 5 3 2" xfId="14883" xr:uid="{65392960-99C9-441A-B88D-439FC5C40246}"/>
    <cellStyle name="Normal 4 2 4 2 3 5 4" xfId="10670" xr:uid="{61A7ACFC-CDF1-4788-9FD0-40D0EC434B95}"/>
    <cellStyle name="Normal 4 2 4 2 3 6" xfId="2518" xr:uid="{00000000-0005-0000-0000-000067130000}"/>
    <cellStyle name="Normal 4 2 4 2 3 6 2" xfId="6801" xr:uid="{00000000-0005-0000-0000-000068130000}"/>
    <cellStyle name="Normal 4 2 4 2 3 6 2 2" xfId="15296" xr:uid="{9E92118F-B95C-49F2-80F5-68744F8E0FC1}"/>
    <cellStyle name="Normal 4 2 4 2 3 6 3" xfId="11083" xr:uid="{30DCB7AE-5E7C-415F-BAFE-AC0F839F187E}"/>
    <cellStyle name="Normal 4 2 4 2 3 7" xfId="4736" xr:uid="{00000000-0005-0000-0000-000069130000}"/>
    <cellStyle name="Normal 4 2 4 2 3 7 2" xfId="13231" xr:uid="{37FD1B77-4022-451F-AEDA-1C34742EEEE1}"/>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86" xr:uid="{798818CD-0C3E-4054-A99A-22865F9EA913}"/>
    <cellStyle name="Normal 4 2 4 2 4 2 3" xfId="11573" xr:uid="{E6C37F71-CFF0-488E-BC1F-98B23C080FB0}"/>
    <cellStyle name="Normal 4 2 4 2 4 3" xfId="5146" xr:uid="{00000000-0005-0000-0000-00006D130000}"/>
    <cellStyle name="Normal 4 2 4 2 4 3 2" xfId="13641" xr:uid="{9FBF41BD-C7B6-4B40-B821-383A47498317}"/>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99" xr:uid="{3365361D-6F18-47F2-A90A-B6169663FAC4}"/>
    <cellStyle name="Normal 4 2 4 2 5 2 3" xfId="11986" xr:uid="{872D6E11-3AD6-48A5-925A-E00C6B632C2D}"/>
    <cellStyle name="Normal 4 2 4 2 5 3" xfId="5559" xr:uid="{00000000-0005-0000-0000-000071130000}"/>
    <cellStyle name="Normal 4 2 4 2 5 3 2" xfId="14054" xr:uid="{542BD396-0C74-4B4C-BFB8-80E2BC071120}"/>
    <cellStyle name="Normal 4 2 4 2 5 4" xfId="9841" xr:uid="{D7D85EC7-BC9C-46C6-82CC-06151294CCAE}"/>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612" xr:uid="{4F0B24A3-5076-450B-927E-25316C991ACC}"/>
    <cellStyle name="Normal 4 2 4 2 6 2 3" xfId="12399" xr:uid="{16F5125B-ECA2-4922-91DE-B5ECE3E0B9E0}"/>
    <cellStyle name="Normal 4 2 4 2 6 3" xfId="5972" xr:uid="{00000000-0005-0000-0000-000075130000}"/>
    <cellStyle name="Normal 4 2 4 2 6 3 2" xfId="14467" xr:uid="{D69FD1AD-9A32-4E77-885E-B1AB6E652C83}"/>
    <cellStyle name="Normal 4 2 4 2 6 4" xfId="10254" xr:uid="{5CC687A0-EB02-42D6-8F3E-A284D3A6848F}"/>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025" xr:uid="{B92D3BC0-7C8E-4763-95AE-1EEA57C6EF86}"/>
    <cellStyle name="Normal 4 2 4 2 7 2 3" xfId="12812" xr:uid="{49F0C68B-F130-4DC8-B854-D424BEAED8E2}"/>
    <cellStyle name="Normal 4 2 4 2 7 3" xfId="6385" xr:uid="{00000000-0005-0000-0000-000079130000}"/>
    <cellStyle name="Normal 4 2 4 2 7 3 2" xfId="14880" xr:uid="{61940F1A-2C31-4C36-B751-89AABBF137EE}"/>
    <cellStyle name="Normal 4 2 4 2 7 4" xfId="10667" xr:uid="{670C709C-594A-46BA-A8B4-CD6547E3F418}"/>
    <cellStyle name="Normal 4 2 4 2 8" xfId="2515" xr:uid="{00000000-0005-0000-0000-00007A130000}"/>
    <cellStyle name="Normal 4 2 4 2 8 2" xfId="6798" xr:uid="{00000000-0005-0000-0000-00007B130000}"/>
    <cellStyle name="Normal 4 2 4 2 8 2 2" xfId="15293" xr:uid="{A0D3AAEC-E770-4E3E-B9F9-54F1ECE3D164}"/>
    <cellStyle name="Normal 4 2 4 2 8 3" xfId="11080" xr:uid="{457E41CF-D4D2-4EC7-AC56-5147B9E15D80}"/>
    <cellStyle name="Normal 4 2 4 2 9" xfId="4733" xr:uid="{00000000-0005-0000-0000-00007C130000}"/>
    <cellStyle name="Normal 4 2 4 2 9 2" xfId="13228" xr:uid="{8E220D6A-5CAC-482C-BA98-A6EC3B0931E4}"/>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91" xr:uid="{3EF2528A-7722-4ACA-8AB9-5A783C449D9D}"/>
    <cellStyle name="Normal 4 2 4 3 2 2 2 3" xfId="11578" xr:uid="{B6756365-ECDB-4EDD-85DA-135F90C0B035}"/>
    <cellStyle name="Normal 4 2 4 3 2 2 3" xfId="5151" xr:uid="{00000000-0005-0000-0000-000082130000}"/>
    <cellStyle name="Normal 4 2 4 3 2 2 3 2" xfId="13646" xr:uid="{8668B0EA-0A2B-4356-B2B4-72EE7768163F}"/>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204" xr:uid="{9459904F-620C-435F-9ED3-BB5E46672D32}"/>
    <cellStyle name="Normal 4 2 4 3 2 3 2 3" xfId="11991" xr:uid="{CD079AD3-051E-4226-9D3E-0F19159C0CBF}"/>
    <cellStyle name="Normal 4 2 4 3 2 3 3" xfId="5564" xr:uid="{00000000-0005-0000-0000-000086130000}"/>
    <cellStyle name="Normal 4 2 4 3 2 3 3 2" xfId="14059" xr:uid="{61999C56-2BCE-48A1-A15E-EB53B31610C1}"/>
    <cellStyle name="Normal 4 2 4 3 2 3 4" xfId="9846" xr:uid="{4A47CF93-A7D4-42B2-A09B-B8BE3B3A16D2}"/>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617" xr:uid="{018CB985-31C3-42E5-80C8-77DB605CD954}"/>
    <cellStyle name="Normal 4 2 4 3 2 4 2 3" xfId="12404" xr:uid="{62C8BC60-5750-4CD1-B9F8-B5367CEC1420}"/>
    <cellStyle name="Normal 4 2 4 3 2 4 3" xfId="5977" xr:uid="{00000000-0005-0000-0000-00008A130000}"/>
    <cellStyle name="Normal 4 2 4 3 2 4 3 2" xfId="14472" xr:uid="{AE9B302B-16E9-421D-9CE7-30EF4483E64F}"/>
    <cellStyle name="Normal 4 2 4 3 2 4 4" xfId="10259" xr:uid="{35DBE482-154B-455D-AEB0-11505E27DA18}"/>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030" xr:uid="{4868C6D4-C476-4BCA-8261-3C4440E64768}"/>
    <cellStyle name="Normal 4 2 4 3 2 5 2 3" xfId="12817" xr:uid="{A76239B7-ED94-47CC-AEE8-8A616F75396B}"/>
    <cellStyle name="Normal 4 2 4 3 2 5 3" xfId="6390" xr:uid="{00000000-0005-0000-0000-00008E130000}"/>
    <cellStyle name="Normal 4 2 4 3 2 5 3 2" xfId="14885" xr:uid="{AABB4EBA-B61F-40E5-8E43-0910C2A0459D}"/>
    <cellStyle name="Normal 4 2 4 3 2 5 4" xfId="10672" xr:uid="{F56D88F7-3D16-4BF2-BE1B-0C1DC1FF8268}"/>
    <cellStyle name="Normal 4 2 4 3 2 6" xfId="2520" xr:uid="{00000000-0005-0000-0000-00008F130000}"/>
    <cellStyle name="Normal 4 2 4 3 2 6 2" xfId="6803" xr:uid="{00000000-0005-0000-0000-000090130000}"/>
    <cellStyle name="Normal 4 2 4 3 2 6 2 2" xfId="15298" xr:uid="{A28E5388-51AF-417F-AB8B-19E0C4A247D8}"/>
    <cellStyle name="Normal 4 2 4 3 2 6 3" xfId="11085" xr:uid="{B9889C19-58D8-4B8A-82F4-E482946CC827}"/>
    <cellStyle name="Normal 4 2 4 3 2 7" xfId="4738" xr:uid="{00000000-0005-0000-0000-000091130000}"/>
    <cellStyle name="Normal 4 2 4 3 2 7 2" xfId="13233" xr:uid="{95600A7F-3638-4FC6-98F8-2A19B25385E4}"/>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90" xr:uid="{39E39729-E0F1-4AA3-B095-252B2B3FF4BB}"/>
    <cellStyle name="Normal 4 2 4 3 3 2 3" xfId="11577" xr:uid="{C1FB357E-4872-45A7-A6F8-6DEA7BE1CF17}"/>
    <cellStyle name="Normal 4 2 4 3 3 3" xfId="5150" xr:uid="{00000000-0005-0000-0000-000095130000}"/>
    <cellStyle name="Normal 4 2 4 3 3 3 2" xfId="13645" xr:uid="{A4C22D04-7928-4333-95FA-A604BA7E2EDE}"/>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203" xr:uid="{24F1DEAF-DCC1-468B-995E-A0DB4A85D6D9}"/>
    <cellStyle name="Normal 4 2 4 3 4 2 3" xfId="11990" xr:uid="{F2DF9C41-C8EE-4F55-9B3E-BF31EAAC7D60}"/>
    <cellStyle name="Normal 4 2 4 3 4 3" xfId="5563" xr:uid="{00000000-0005-0000-0000-000099130000}"/>
    <cellStyle name="Normal 4 2 4 3 4 3 2" xfId="14058" xr:uid="{5AA561B0-18D9-41C0-A6CC-1B6ACB4D927C}"/>
    <cellStyle name="Normal 4 2 4 3 4 4" xfId="9845" xr:uid="{680C554B-320B-455B-866F-EA31A46BAD25}"/>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616" xr:uid="{76C1B794-EA19-4431-99CF-73568FD68DD9}"/>
    <cellStyle name="Normal 4 2 4 3 5 2 3" xfId="12403" xr:uid="{7E554986-1FF0-46C4-BC5D-FBE1D5583189}"/>
    <cellStyle name="Normal 4 2 4 3 5 3" xfId="5976" xr:uid="{00000000-0005-0000-0000-00009D130000}"/>
    <cellStyle name="Normal 4 2 4 3 5 3 2" xfId="14471" xr:uid="{7CCFD153-7FBD-4244-B5F3-2931A0E3F56F}"/>
    <cellStyle name="Normal 4 2 4 3 5 4" xfId="10258" xr:uid="{3026AF12-1326-4D05-B6C0-CAAD307B9488}"/>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029" xr:uid="{F228DF58-3426-482F-9A77-CD2EADBD3218}"/>
    <cellStyle name="Normal 4 2 4 3 6 2 3" xfId="12816" xr:uid="{12CE8C77-36BE-4DFD-9CFD-621E515ECF52}"/>
    <cellStyle name="Normal 4 2 4 3 6 3" xfId="6389" xr:uid="{00000000-0005-0000-0000-0000A1130000}"/>
    <cellStyle name="Normal 4 2 4 3 6 3 2" xfId="14884" xr:uid="{3B973109-5CB7-4C99-B06E-DB3FC7B648BB}"/>
    <cellStyle name="Normal 4 2 4 3 6 4" xfId="10671" xr:uid="{A4CF81EE-95E4-4B78-844E-39729F2A30E7}"/>
    <cellStyle name="Normal 4 2 4 3 7" xfId="2519" xr:uid="{00000000-0005-0000-0000-0000A2130000}"/>
    <cellStyle name="Normal 4 2 4 3 7 2" xfId="6802" xr:uid="{00000000-0005-0000-0000-0000A3130000}"/>
    <cellStyle name="Normal 4 2 4 3 7 2 2" xfId="15297" xr:uid="{2CBE1FA6-EFB8-43E1-9A5A-708DF1DDA636}"/>
    <cellStyle name="Normal 4 2 4 3 7 3" xfId="11084" xr:uid="{7519556B-3143-493A-A323-A2731E522DEC}"/>
    <cellStyle name="Normal 4 2 4 3 8" xfId="4737" xr:uid="{00000000-0005-0000-0000-0000A4130000}"/>
    <cellStyle name="Normal 4 2 4 3 8 2" xfId="13232" xr:uid="{9E34A9AA-4399-455C-8BFB-3337888A1547}"/>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92" xr:uid="{D25A4F24-225E-4C0A-BD7F-749F936CD709}"/>
    <cellStyle name="Normal 4 2 4 4 2 2 3" xfId="11579" xr:uid="{65A83EB8-D9F0-486F-94B9-3606AB0ECBC6}"/>
    <cellStyle name="Normal 4 2 4 4 2 3" xfId="5152" xr:uid="{00000000-0005-0000-0000-0000A9130000}"/>
    <cellStyle name="Normal 4 2 4 4 2 3 2" xfId="13647" xr:uid="{59AB0E0E-F459-4173-8E6C-7A99AAFE35EE}"/>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205" xr:uid="{8CB25A56-F0ED-4FBC-9DC9-C2A61A841793}"/>
    <cellStyle name="Normal 4 2 4 4 3 2 3" xfId="11992" xr:uid="{D462BE7D-A2E5-4B78-AF5A-E10F5A534885}"/>
    <cellStyle name="Normal 4 2 4 4 3 3" xfId="5565" xr:uid="{00000000-0005-0000-0000-0000AD130000}"/>
    <cellStyle name="Normal 4 2 4 4 3 3 2" xfId="14060" xr:uid="{88762AAB-093D-4C35-91B8-E9B132CCFF91}"/>
    <cellStyle name="Normal 4 2 4 4 3 4" xfId="9847" xr:uid="{6DBBE1E8-39A7-45E2-A0AE-5E3497D4A41D}"/>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618" xr:uid="{F0E90676-0F52-42CC-B652-3A56B3DFDF21}"/>
    <cellStyle name="Normal 4 2 4 4 4 2 3" xfId="12405" xr:uid="{3111A086-63E1-4136-AAFD-057443FC3C21}"/>
    <cellStyle name="Normal 4 2 4 4 4 3" xfId="5978" xr:uid="{00000000-0005-0000-0000-0000B1130000}"/>
    <cellStyle name="Normal 4 2 4 4 4 3 2" xfId="14473" xr:uid="{56D58023-1CF4-4BCE-AB3C-E89A6FB6139E}"/>
    <cellStyle name="Normal 4 2 4 4 4 4" xfId="10260" xr:uid="{DB7E26AA-3EA4-4660-9C95-DEB8E69408DE}"/>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031" xr:uid="{C9EE37E0-4D0B-4FFB-83FE-DC1EBCDD7AC0}"/>
    <cellStyle name="Normal 4 2 4 4 5 2 3" xfId="12818" xr:uid="{7FA7D786-A816-49DB-B2B5-8A8C808A1F49}"/>
    <cellStyle name="Normal 4 2 4 4 5 3" xfId="6391" xr:uid="{00000000-0005-0000-0000-0000B5130000}"/>
    <cellStyle name="Normal 4 2 4 4 5 3 2" xfId="14886" xr:uid="{857BC71F-CDAB-4E71-9E31-13C40432DAD4}"/>
    <cellStyle name="Normal 4 2 4 4 5 4" xfId="10673" xr:uid="{F76498CB-A9A1-4022-91E6-6DB090206BF2}"/>
    <cellStyle name="Normal 4 2 4 4 6" xfId="2521" xr:uid="{00000000-0005-0000-0000-0000B6130000}"/>
    <cellStyle name="Normal 4 2 4 4 6 2" xfId="6804" xr:uid="{00000000-0005-0000-0000-0000B7130000}"/>
    <cellStyle name="Normal 4 2 4 4 6 2 2" xfId="15299" xr:uid="{354FF9EF-28D3-4D09-8A79-0041DE4DA89A}"/>
    <cellStyle name="Normal 4 2 4 4 6 3" xfId="11086" xr:uid="{3C754C89-C246-4F21-8B8E-6968EFC6210A}"/>
    <cellStyle name="Normal 4 2 4 4 7" xfId="4739" xr:uid="{00000000-0005-0000-0000-0000B8130000}"/>
    <cellStyle name="Normal 4 2 4 4 7 2" xfId="13234" xr:uid="{47767785-1FBC-4F11-BD00-E448C97A82B6}"/>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2 2 2" xfId="15785" xr:uid="{EA351212-5D7A-488F-8680-A2C383BE7174}"/>
    <cellStyle name="Normal 4 2 4 5 2 3" xfId="11572" xr:uid="{CA83D549-3B1B-4A42-BA44-B30933809439}"/>
    <cellStyle name="Normal 4 2 4 5 3" xfId="5145" xr:uid="{00000000-0005-0000-0000-0000BC130000}"/>
    <cellStyle name="Normal 4 2 4 5 3 2" xfId="13640" xr:uid="{2A6CCC14-4537-4B06-A8DE-C39B11C80C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2 2 2" xfId="16198" xr:uid="{E8DA0CD8-0AA5-44EA-B2B8-B6324AB55F83}"/>
    <cellStyle name="Normal 4 2 4 6 2 3" xfId="11985" xr:uid="{194A387E-D8F0-4650-AAC9-C1592E27053E}"/>
    <cellStyle name="Normal 4 2 4 6 3" xfId="5558" xr:uid="{00000000-0005-0000-0000-0000C0130000}"/>
    <cellStyle name="Normal 4 2 4 6 3 2" xfId="14053" xr:uid="{4014BA7E-18AF-42F8-AC3F-AE71EBDE410B}"/>
    <cellStyle name="Normal 4 2 4 6 4" xfId="9840" xr:uid="{699D7172-0AB7-45C7-84D5-F2E72D1D1657}"/>
    <cellStyle name="Normal 4 2 4 7" xfId="1664" xr:uid="{00000000-0005-0000-0000-0000C1130000}"/>
    <cellStyle name="Normal 4 2 4 7 2" xfId="3894" xr:uid="{00000000-0005-0000-0000-0000C2130000}"/>
    <cellStyle name="Normal 4 2 4 7 2 2" xfId="8116" xr:uid="{00000000-0005-0000-0000-0000C3130000}"/>
    <cellStyle name="Normal 4 2 4 7 2 2 2" xfId="16611" xr:uid="{40E243DE-84E2-4E03-B4B4-45115E781B4F}"/>
    <cellStyle name="Normal 4 2 4 7 2 3" xfId="12398" xr:uid="{EB7A15A8-FBF5-4087-BB5E-FD21A11B9DB0}"/>
    <cellStyle name="Normal 4 2 4 7 3" xfId="5971" xr:uid="{00000000-0005-0000-0000-0000C4130000}"/>
    <cellStyle name="Normal 4 2 4 7 3 2" xfId="14466" xr:uid="{6BDAC13F-A775-4C6C-AD04-31E14676442E}"/>
    <cellStyle name="Normal 4 2 4 7 4" xfId="10253" xr:uid="{1BB1DA19-7454-4831-98A9-5B8F95801D12}"/>
    <cellStyle name="Normal 4 2 4 8" xfId="2078" xr:uid="{00000000-0005-0000-0000-0000C5130000}"/>
    <cellStyle name="Normal 4 2 4 8 2" xfId="4307" xr:uid="{00000000-0005-0000-0000-0000C6130000}"/>
    <cellStyle name="Normal 4 2 4 8 2 2" xfId="8529" xr:uid="{00000000-0005-0000-0000-0000C7130000}"/>
    <cellStyle name="Normal 4 2 4 8 2 2 2" xfId="17024" xr:uid="{95F3FB29-D826-48F1-B766-BF7E9F066402}"/>
    <cellStyle name="Normal 4 2 4 8 2 3" xfId="12811" xr:uid="{C4E4E44A-3F1D-4207-9993-C14DC64968F4}"/>
    <cellStyle name="Normal 4 2 4 8 3" xfId="6384" xr:uid="{00000000-0005-0000-0000-0000C8130000}"/>
    <cellStyle name="Normal 4 2 4 8 3 2" xfId="14879" xr:uid="{2EDF0E40-31FB-4689-9424-02DA31E44397}"/>
    <cellStyle name="Normal 4 2 4 8 4" xfId="10666" xr:uid="{9EF1D3F7-DF5E-4A09-BC70-251DC5DF8EB9}"/>
    <cellStyle name="Normal 4 2 4 9" xfId="2514" xr:uid="{00000000-0005-0000-0000-0000C9130000}"/>
    <cellStyle name="Normal 4 2 4 9 2" xfId="6797" xr:uid="{00000000-0005-0000-0000-0000CA130000}"/>
    <cellStyle name="Normal 4 2 4 9 2 2" xfId="15292" xr:uid="{A26BA20C-4A9F-4F58-880B-FD4619FC037D}"/>
    <cellStyle name="Normal 4 2 4 9 3" xfId="11079" xr:uid="{57BC2F44-250B-4EAF-B353-8FE5D3228E38}"/>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94" xr:uid="{83CDE372-369A-4809-A154-97BDC36FD4F2}"/>
    <cellStyle name="Normal 4 2 5 2 2 2 3" xfId="11581" xr:uid="{10C6DDD3-0229-48C6-AD63-04C7A191B92B}"/>
    <cellStyle name="Normal 4 2 5 2 2 3" xfId="5154" xr:uid="{00000000-0005-0000-0000-0000D0130000}"/>
    <cellStyle name="Normal 4 2 5 2 2 3 2" xfId="13649" xr:uid="{631F01FB-8AAE-48DB-9FA4-253BFD7636D6}"/>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207" xr:uid="{E6E731A7-9E6B-4C0B-9190-B3F14348647A}"/>
    <cellStyle name="Normal 4 2 5 2 3 2 3" xfId="11994" xr:uid="{D018712E-85A1-4016-9FE4-21DE8D799881}"/>
    <cellStyle name="Normal 4 2 5 2 3 3" xfId="5567" xr:uid="{00000000-0005-0000-0000-0000D4130000}"/>
    <cellStyle name="Normal 4 2 5 2 3 3 2" xfId="14062" xr:uid="{539042FA-3A93-4876-A7E6-F9C3D8BEA392}"/>
    <cellStyle name="Normal 4 2 5 2 3 4" xfId="9849" xr:uid="{401440AA-6100-4F93-99DF-F67AB968DB9B}"/>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620" xr:uid="{231E516C-6943-47A3-9D5D-CF1893E3A5DA}"/>
    <cellStyle name="Normal 4 2 5 2 4 2 3" xfId="12407" xr:uid="{86A7A50D-DDAE-415F-884E-A202C066F2E6}"/>
    <cellStyle name="Normal 4 2 5 2 4 3" xfId="5980" xr:uid="{00000000-0005-0000-0000-0000D8130000}"/>
    <cellStyle name="Normal 4 2 5 2 4 3 2" xfId="14475" xr:uid="{849D6790-F300-4727-B71E-084196ADA47A}"/>
    <cellStyle name="Normal 4 2 5 2 4 4" xfId="10262" xr:uid="{ECB52532-5EC1-45CC-AE5B-D58C55748313}"/>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033" xr:uid="{4E1A8020-EC4C-441B-95DD-BB03D6753AA1}"/>
    <cellStyle name="Normal 4 2 5 2 5 2 3" xfId="12820" xr:uid="{2AF77250-DE4C-4428-97BA-C56E09C732F3}"/>
    <cellStyle name="Normal 4 2 5 2 5 3" xfId="6393" xr:uid="{00000000-0005-0000-0000-0000DC130000}"/>
    <cellStyle name="Normal 4 2 5 2 5 3 2" xfId="14888" xr:uid="{E608A416-3F97-49C1-BAAB-1D8F6E7BD144}"/>
    <cellStyle name="Normal 4 2 5 2 5 4" xfId="10675" xr:uid="{8A8ED2DE-F529-4491-B394-49E839AC9FE9}"/>
    <cellStyle name="Normal 4 2 5 2 6" xfId="2523" xr:uid="{00000000-0005-0000-0000-0000DD130000}"/>
    <cellStyle name="Normal 4 2 5 2 6 2" xfId="6806" xr:uid="{00000000-0005-0000-0000-0000DE130000}"/>
    <cellStyle name="Normal 4 2 5 2 6 2 2" xfId="15301" xr:uid="{606019C5-2768-498F-83CE-65043D43A933}"/>
    <cellStyle name="Normal 4 2 5 2 6 3" xfId="11088" xr:uid="{1B18E933-0258-4879-8EFA-408D848B0ADB}"/>
    <cellStyle name="Normal 4 2 5 2 7" xfId="4741" xr:uid="{00000000-0005-0000-0000-0000DF130000}"/>
    <cellStyle name="Normal 4 2 5 2 7 2" xfId="13236" xr:uid="{F82D00B6-2573-43D5-A9D9-786FC606B509}"/>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2 2 2" xfId="15793" xr:uid="{D0E5FA50-DB7D-4A17-B29B-EC0C4668880C}"/>
    <cellStyle name="Normal 4 2 5 3 2 3" xfId="11580" xr:uid="{B7AED572-2442-4A88-A44E-DEA33218D2C0}"/>
    <cellStyle name="Normal 4 2 5 3 3" xfId="5153" xr:uid="{00000000-0005-0000-0000-0000E3130000}"/>
    <cellStyle name="Normal 4 2 5 3 3 2" xfId="13648" xr:uid="{F38175A1-FF79-4C55-B233-D0426F7F45E1}"/>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2 2 2" xfId="16206" xr:uid="{1D735E49-0A80-46D2-8C51-47C0E7528BD6}"/>
    <cellStyle name="Normal 4 2 5 4 2 3" xfId="11993" xr:uid="{AFAAC8D0-60B9-438E-B82F-52E00581D50C}"/>
    <cellStyle name="Normal 4 2 5 4 3" xfId="5566" xr:uid="{00000000-0005-0000-0000-0000E7130000}"/>
    <cellStyle name="Normal 4 2 5 4 3 2" xfId="14061" xr:uid="{8DA3D215-BE29-4E79-A151-66E08C0189F8}"/>
    <cellStyle name="Normal 4 2 5 4 4" xfId="9848" xr:uid="{15AA9885-D2A0-47BA-AB26-0619F7BBC7BD}"/>
    <cellStyle name="Normal 4 2 5 5" xfId="1672" xr:uid="{00000000-0005-0000-0000-0000E8130000}"/>
    <cellStyle name="Normal 4 2 5 5 2" xfId="3902" xr:uid="{00000000-0005-0000-0000-0000E9130000}"/>
    <cellStyle name="Normal 4 2 5 5 2 2" xfId="8124" xr:uid="{00000000-0005-0000-0000-0000EA130000}"/>
    <cellStyle name="Normal 4 2 5 5 2 2 2" xfId="16619" xr:uid="{B05C34DE-C7F5-47DD-9670-8FCAEFE33860}"/>
    <cellStyle name="Normal 4 2 5 5 2 3" xfId="12406" xr:uid="{6D6B46D9-1151-4B77-978C-E48BE7B5DAA9}"/>
    <cellStyle name="Normal 4 2 5 5 3" xfId="5979" xr:uid="{00000000-0005-0000-0000-0000EB130000}"/>
    <cellStyle name="Normal 4 2 5 5 3 2" xfId="14474" xr:uid="{0300C334-EEF9-446E-AE8C-C34A125134F0}"/>
    <cellStyle name="Normal 4 2 5 5 4" xfId="10261" xr:uid="{C4698654-9AB8-415E-BFBB-3704A53BFF5B}"/>
    <cellStyle name="Normal 4 2 5 6" xfId="2086" xr:uid="{00000000-0005-0000-0000-0000EC130000}"/>
    <cellStyle name="Normal 4 2 5 6 2" xfId="4315" xr:uid="{00000000-0005-0000-0000-0000ED130000}"/>
    <cellStyle name="Normal 4 2 5 6 2 2" xfId="8537" xr:uid="{00000000-0005-0000-0000-0000EE130000}"/>
    <cellStyle name="Normal 4 2 5 6 2 2 2" xfId="17032" xr:uid="{EF7EC10C-B7D3-45F7-BB2F-E308F1FB7FFD}"/>
    <cellStyle name="Normal 4 2 5 6 2 3" xfId="12819" xr:uid="{3A043A30-4A68-4EEA-BDBB-DCE04D39A4DF}"/>
    <cellStyle name="Normal 4 2 5 6 3" xfId="6392" xr:uid="{00000000-0005-0000-0000-0000EF130000}"/>
    <cellStyle name="Normal 4 2 5 6 3 2" xfId="14887" xr:uid="{28CAB11B-CCF8-4684-9F3F-01BAEF8D3133}"/>
    <cellStyle name="Normal 4 2 5 6 4" xfId="10674" xr:uid="{41EF0D66-8ABF-4BCC-9DC0-9F64E8534534}"/>
    <cellStyle name="Normal 4 2 5 7" xfId="2522" xr:uid="{00000000-0005-0000-0000-0000F0130000}"/>
    <cellStyle name="Normal 4 2 5 7 2" xfId="6805" xr:uid="{00000000-0005-0000-0000-0000F1130000}"/>
    <cellStyle name="Normal 4 2 5 7 2 2" xfId="15300" xr:uid="{5406A8E4-4A20-441A-A1B8-5D915CA6DA5D}"/>
    <cellStyle name="Normal 4 2 5 7 3" xfId="11087" xr:uid="{62D3CD42-AE39-4CD3-8121-E1F7BB165301}"/>
    <cellStyle name="Normal 4 2 5 8" xfId="4740" xr:uid="{00000000-0005-0000-0000-0000F2130000}"/>
    <cellStyle name="Normal 4 2 5 8 2" xfId="13235" xr:uid="{8853F415-9196-4238-A8A6-AB00153B3886}"/>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95" xr:uid="{82763CCF-8B1A-40FF-BA5C-EB5521351A7D}"/>
    <cellStyle name="Normal 4 2 6 2 2 3" xfId="11582" xr:uid="{B8574D0E-22CB-4173-B162-3768D62E60F6}"/>
    <cellStyle name="Normal 4 2 6 2 3" xfId="5155" xr:uid="{00000000-0005-0000-0000-0000F7130000}"/>
    <cellStyle name="Normal 4 2 6 2 3 2" xfId="13650" xr:uid="{77DFF486-C29A-40AA-A404-EEC1CF2B3B71}"/>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2 2 2" xfId="16208" xr:uid="{977F76E3-1451-4682-A768-4919FE71486B}"/>
    <cellStyle name="Normal 4 2 6 3 2 3" xfId="11995" xr:uid="{AB8C845F-01D8-46D8-AB6D-A829601882A9}"/>
    <cellStyle name="Normal 4 2 6 3 3" xfId="5568" xr:uid="{00000000-0005-0000-0000-0000FB130000}"/>
    <cellStyle name="Normal 4 2 6 3 3 2" xfId="14063" xr:uid="{7880602F-3CFB-416B-AF6E-F0A243A3D7EF}"/>
    <cellStyle name="Normal 4 2 6 3 4" xfId="9850" xr:uid="{B8274A97-78D7-417A-99B8-BBA61D2D1BFF}"/>
    <cellStyle name="Normal 4 2 6 4" xfId="1674" xr:uid="{00000000-0005-0000-0000-0000FC130000}"/>
    <cellStyle name="Normal 4 2 6 4 2" xfId="3904" xr:uid="{00000000-0005-0000-0000-0000FD130000}"/>
    <cellStyle name="Normal 4 2 6 4 2 2" xfId="8126" xr:uid="{00000000-0005-0000-0000-0000FE130000}"/>
    <cellStyle name="Normal 4 2 6 4 2 2 2" xfId="16621" xr:uid="{9E84C89B-FF33-4C86-9B45-8BC59CDA3B4C}"/>
    <cellStyle name="Normal 4 2 6 4 2 3" xfId="12408" xr:uid="{D495C2FD-BF7A-41F7-BFDE-10751D334303}"/>
    <cellStyle name="Normal 4 2 6 4 3" xfId="5981" xr:uid="{00000000-0005-0000-0000-0000FF130000}"/>
    <cellStyle name="Normal 4 2 6 4 3 2" xfId="14476" xr:uid="{4489CA4A-F47B-4AC9-8888-B8B75D6F3827}"/>
    <cellStyle name="Normal 4 2 6 4 4" xfId="10263" xr:uid="{68981FD8-A259-41A7-B9F2-D90F27899D98}"/>
    <cellStyle name="Normal 4 2 6 5" xfId="2088" xr:uid="{00000000-0005-0000-0000-000000140000}"/>
    <cellStyle name="Normal 4 2 6 5 2" xfId="4317" xr:uid="{00000000-0005-0000-0000-000001140000}"/>
    <cellStyle name="Normal 4 2 6 5 2 2" xfId="8539" xr:uid="{00000000-0005-0000-0000-000002140000}"/>
    <cellStyle name="Normal 4 2 6 5 2 2 2" xfId="17034" xr:uid="{F6713911-DDD0-48EF-B7A7-8045CCF31FB9}"/>
    <cellStyle name="Normal 4 2 6 5 2 3" xfId="12821" xr:uid="{4631415E-F01E-43C5-9384-91C710570A0A}"/>
    <cellStyle name="Normal 4 2 6 5 3" xfId="6394" xr:uid="{00000000-0005-0000-0000-000003140000}"/>
    <cellStyle name="Normal 4 2 6 5 3 2" xfId="14889" xr:uid="{BBE41C56-F650-4EF5-808C-2A1542180216}"/>
    <cellStyle name="Normal 4 2 6 5 4" xfId="10676" xr:uid="{DD8C5448-A59E-42CD-B970-8B7DFA4958E8}"/>
    <cellStyle name="Normal 4 2 6 6" xfId="2524" xr:uid="{00000000-0005-0000-0000-000004140000}"/>
    <cellStyle name="Normal 4 2 6 6 2" xfId="6807" xr:uid="{00000000-0005-0000-0000-000005140000}"/>
    <cellStyle name="Normal 4 2 6 6 2 2" xfId="15302" xr:uid="{E4FB25DC-EA88-4847-9290-2BDF0B6B3372}"/>
    <cellStyle name="Normal 4 2 6 6 3" xfId="11089" xr:uid="{D923A6EC-2241-4389-AA89-CCEE9813EE85}"/>
    <cellStyle name="Normal 4 2 6 7" xfId="4742" xr:uid="{00000000-0005-0000-0000-000006140000}"/>
    <cellStyle name="Normal 4 2 6 7 2" xfId="13237" xr:uid="{0B5879E7-0247-4170-817D-253C9DBBD8A3}"/>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99" xr:uid="{9FD1F7B4-65AE-42A3-8AD0-B70EA2A9F5A9}"/>
    <cellStyle name="Normal 4 3 2 2 2 2 2 2 2 3" xfId="11586" xr:uid="{FDD2AD32-A5AB-4D1E-908D-5EBBEB418C70}"/>
    <cellStyle name="Normal 4 3 2 2 2 2 2 2 3" xfId="5159" xr:uid="{00000000-0005-0000-0000-000010140000}"/>
    <cellStyle name="Normal 4 3 2 2 2 2 2 2 3 2" xfId="13654" xr:uid="{DF01500C-B0F8-49BB-9F8C-7DD7B5EAE7D6}"/>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212" xr:uid="{30A0496C-D03D-48FA-B7AB-488EF103055F}"/>
    <cellStyle name="Normal 4 3 2 2 2 2 2 3 2 3" xfId="11999" xr:uid="{529F5AE9-047B-430D-B1AC-EEE4594C34FA}"/>
    <cellStyle name="Normal 4 3 2 2 2 2 2 3 3" xfId="5572" xr:uid="{00000000-0005-0000-0000-000014140000}"/>
    <cellStyle name="Normal 4 3 2 2 2 2 2 3 3 2" xfId="14067" xr:uid="{6E8F52D8-8771-4594-A7A1-FFB8522E334F}"/>
    <cellStyle name="Normal 4 3 2 2 2 2 2 3 4" xfId="9854" xr:uid="{1D937738-0A25-4566-A5AA-8923F9D798E8}"/>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625" xr:uid="{ED9B8896-60D0-469A-9E10-7DC7328E69F2}"/>
    <cellStyle name="Normal 4 3 2 2 2 2 2 4 2 3" xfId="12412" xr:uid="{F5D02B8D-6D5F-47DA-B571-B7892683FBED}"/>
    <cellStyle name="Normal 4 3 2 2 2 2 2 4 3" xfId="5985" xr:uid="{00000000-0005-0000-0000-000018140000}"/>
    <cellStyle name="Normal 4 3 2 2 2 2 2 4 3 2" xfId="14480" xr:uid="{605CAE22-6696-4856-960C-498ABBF69668}"/>
    <cellStyle name="Normal 4 3 2 2 2 2 2 4 4" xfId="10267" xr:uid="{7E9D4828-F36B-4B16-B18A-2804869FF2BF}"/>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038" xr:uid="{57D541DF-2E1C-4CEB-810F-5C2D40C8BD39}"/>
    <cellStyle name="Normal 4 3 2 2 2 2 2 5 2 3" xfId="12825" xr:uid="{593DE784-A91B-4544-8547-F8EEC3370573}"/>
    <cellStyle name="Normal 4 3 2 2 2 2 2 5 3" xfId="6398" xr:uid="{00000000-0005-0000-0000-00001C140000}"/>
    <cellStyle name="Normal 4 3 2 2 2 2 2 5 3 2" xfId="14893" xr:uid="{DAAB69D6-26B9-4A27-B923-6BE0BE543109}"/>
    <cellStyle name="Normal 4 3 2 2 2 2 2 5 4" xfId="10680" xr:uid="{FD525E62-BCA5-4667-9E9D-F0BD2DC8A9D9}"/>
    <cellStyle name="Normal 4 3 2 2 2 2 2 6" xfId="2528" xr:uid="{00000000-0005-0000-0000-00001D140000}"/>
    <cellStyle name="Normal 4 3 2 2 2 2 2 6 2" xfId="6811" xr:uid="{00000000-0005-0000-0000-00001E140000}"/>
    <cellStyle name="Normal 4 3 2 2 2 2 2 6 2 2" xfId="15306" xr:uid="{C995977E-FE6E-4857-9AB2-103D38672700}"/>
    <cellStyle name="Normal 4 3 2 2 2 2 2 6 3" xfId="11093" xr:uid="{8A830463-1610-4EB9-A50D-D504E611FD8A}"/>
    <cellStyle name="Normal 4 3 2 2 2 2 2 7" xfId="4746" xr:uid="{00000000-0005-0000-0000-00001F140000}"/>
    <cellStyle name="Normal 4 3 2 2 2 2 2 7 2" xfId="13241" xr:uid="{894912B1-2C74-4935-882F-2B9D9CC34835}"/>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98" xr:uid="{19DDFE95-0495-44AB-98C6-4837B8102760}"/>
    <cellStyle name="Normal 4 3 2 2 2 2 3 2 3" xfId="11585" xr:uid="{AB3BD26C-6790-4E3F-9561-FE1091BAA71A}"/>
    <cellStyle name="Normal 4 3 2 2 2 2 3 3" xfId="5158" xr:uid="{00000000-0005-0000-0000-000023140000}"/>
    <cellStyle name="Normal 4 3 2 2 2 2 3 3 2" xfId="13653" xr:uid="{0813CCF1-1FB7-44B7-BE5A-2A31A9E4B2C5}"/>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211" xr:uid="{D64EA3D2-CB97-4001-B33F-CB51641CC276}"/>
    <cellStyle name="Normal 4 3 2 2 2 2 4 2 3" xfId="11998" xr:uid="{77D9508B-D727-4BD3-83FD-CE504AE4E60A}"/>
    <cellStyle name="Normal 4 3 2 2 2 2 4 3" xfId="5571" xr:uid="{00000000-0005-0000-0000-000027140000}"/>
    <cellStyle name="Normal 4 3 2 2 2 2 4 3 2" xfId="14066" xr:uid="{2B9D3826-BC84-4F25-B921-DE50F1753852}"/>
    <cellStyle name="Normal 4 3 2 2 2 2 4 4" xfId="9853" xr:uid="{C71BC4CE-91FA-4CC7-AAD2-EE313B8F3D6A}"/>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624" xr:uid="{96BE3D22-BCCF-4BE6-B2B3-33F8944BAC12}"/>
    <cellStyle name="Normal 4 3 2 2 2 2 5 2 3" xfId="12411" xr:uid="{E580A060-629A-416C-AD4B-06DADF282725}"/>
    <cellStyle name="Normal 4 3 2 2 2 2 5 3" xfId="5984" xr:uid="{00000000-0005-0000-0000-00002B140000}"/>
    <cellStyle name="Normal 4 3 2 2 2 2 5 3 2" xfId="14479" xr:uid="{D420A106-FD89-4F24-AD94-865103037931}"/>
    <cellStyle name="Normal 4 3 2 2 2 2 5 4" xfId="10266" xr:uid="{199EAC03-F732-41C8-8D6A-4AD0C896CA6C}"/>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037" xr:uid="{CE87A987-8359-43B2-A790-0C07B05C8CB3}"/>
    <cellStyle name="Normal 4 3 2 2 2 2 6 2 3" xfId="12824" xr:uid="{92E03E50-ABFC-4768-9E71-35D18048945E}"/>
    <cellStyle name="Normal 4 3 2 2 2 2 6 3" xfId="6397" xr:uid="{00000000-0005-0000-0000-00002F140000}"/>
    <cellStyle name="Normal 4 3 2 2 2 2 6 3 2" xfId="14892" xr:uid="{A9F63C3E-28B8-449F-A4BA-3F64F476217C}"/>
    <cellStyle name="Normal 4 3 2 2 2 2 6 4" xfId="10679" xr:uid="{46B9A5B6-4616-4B9A-A302-48BB75D513F1}"/>
    <cellStyle name="Normal 4 3 2 2 2 2 7" xfId="2527" xr:uid="{00000000-0005-0000-0000-000030140000}"/>
    <cellStyle name="Normal 4 3 2 2 2 2 7 2" xfId="6810" xr:uid="{00000000-0005-0000-0000-000031140000}"/>
    <cellStyle name="Normal 4 3 2 2 2 2 7 2 2" xfId="15305" xr:uid="{8ABB11B4-AE24-4C4C-A752-051D143088F9}"/>
    <cellStyle name="Normal 4 3 2 2 2 2 7 3" xfId="11092" xr:uid="{F4D83729-2D22-470D-AAAE-FF1993F86C8A}"/>
    <cellStyle name="Normal 4 3 2 2 2 2 8" xfId="4745" xr:uid="{00000000-0005-0000-0000-000032140000}"/>
    <cellStyle name="Normal 4 3 2 2 2 2 8 2" xfId="13240" xr:uid="{88083342-3634-4727-8568-86C81A986B17}"/>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800" xr:uid="{EE4B6699-94DC-42B3-84D6-AC20FE03410B}"/>
    <cellStyle name="Normal 4 3 2 2 2 3 2 2 3" xfId="11587" xr:uid="{8AADC618-9F53-4980-B206-29A9F5FEF17F}"/>
    <cellStyle name="Normal 4 3 2 2 2 3 2 3" xfId="5160" xr:uid="{00000000-0005-0000-0000-000037140000}"/>
    <cellStyle name="Normal 4 3 2 2 2 3 2 3 2" xfId="13655" xr:uid="{A8617C49-8BEA-4E9F-AA5B-C49928F4858B}"/>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213" xr:uid="{841119B4-2FAB-4211-84CE-6BCA057BC0AF}"/>
    <cellStyle name="Normal 4 3 2 2 2 3 3 2 3" xfId="12000" xr:uid="{AF635B3B-5EAF-41B4-B3F8-D5CC25C9C04B}"/>
    <cellStyle name="Normal 4 3 2 2 2 3 3 3" xfId="5573" xr:uid="{00000000-0005-0000-0000-00003B140000}"/>
    <cellStyle name="Normal 4 3 2 2 2 3 3 3 2" xfId="14068" xr:uid="{0464DB1D-C2BD-4127-8912-9CFF8C90D74E}"/>
    <cellStyle name="Normal 4 3 2 2 2 3 3 4" xfId="9855" xr:uid="{150D19DE-47F8-4BB1-BD50-9F3EA8A040CE}"/>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626" xr:uid="{B190CA1D-4C0C-4C9D-859F-F8437DC7B507}"/>
    <cellStyle name="Normal 4 3 2 2 2 3 4 2 3" xfId="12413" xr:uid="{BEE011F6-B6DE-472C-9F6B-4D1B65ED6C6D}"/>
    <cellStyle name="Normal 4 3 2 2 2 3 4 3" xfId="5986" xr:uid="{00000000-0005-0000-0000-00003F140000}"/>
    <cellStyle name="Normal 4 3 2 2 2 3 4 3 2" xfId="14481" xr:uid="{A844837F-95AD-4B0C-A927-6B38A06F8ACA}"/>
    <cellStyle name="Normal 4 3 2 2 2 3 4 4" xfId="10268" xr:uid="{72A203FD-6D0A-43C0-9AD3-5F1A01A26828}"/>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039" xr:uid="{3DEB8B9B-F7C6-48B1-ABCC-449B0C63E5FF}"/>
    <cellStyle name="Normal 4 3 2 2 2 3 5 2 3" xfId="12826" xr:uid="{780C69C7-ADC6-4D4B-BE7B-A6AB06BF945E}"/>
    <cellStyle name="Normal 4 3 2 2 2 3 5 3" xfId="6399" xr:uid="{00000000-0005-0000-0000-000043140000}"/>
    <cellStyle name="Normal 4 3 2 2 2 3 5 3 2" xfId="14894" xr:uid="{36004BCE-40A8-4D57-BB6E-C88FD58FE874}"/>
    <cellStyle name="Normal 4 3 2 2 2 3 5 4" xfId="10681" xr:uid="{2262E6F1-33A4-4942-A804-04E0CF581075}"/>
    <cellStyle name="Normal 4 3 2 2 2 3 6" xfId="2529" xr:uid="{00000000-0005-0000-0000-000044140000}"/>
    <cellStyle name="Normal 4 3 2 2 2 3 6 2" xfId="6812" xr:uid="{00000000-0005-0000-0000-000045140000}"/>
    <cellStyle name="Normal 4 3 2 2 2 3 6 2 2" xfId="15307" xr:uid="{D252256D-8623-4F65-94AA-BAF528E88D32}"/>
    <cellStyle name="Normal 4 3 2 2 2 3 6 3" xfId="11094" xr:uid="{A5BD29DB-3422-4474-8C9E-FF9ADB067541}"/>
    <cellStyle name="Normal 4 3 2 2 2 3 7" xfId="4747" xr:uid="{00000000-0005-0000-0000-000046140000}"/>
    <cellStyle name="Normal 4 3 2 2 2 3 7 2" xfId="13242" xr:uid="{912B5B76-03F9-49E1-8FB9-EB6826B649C3}"/>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97" xr:uid="{3EED3DF0-62E0-4D4E-9825-735C069120A4}"/>
    <cellStyle name="Normal 4 3 2 2 2 4 2 3" xfId="11584" xr:uid="{D92CC6B8-AA11-4F92-B09B-FDFB7224B823}"/>
    <cellStyle name="Normal 4 3 2 2 2 4 3" xfId="5157" xr:uid="{00000000-0005-0000-0000-00004A140000}"/>
    <cellStyle name="Normal 4 3 2 2 2 4 3 2" xfId="13652" xr:uid="{07DD1568-3A0D-41D0-9DF3-113EA11E1B5F}"/>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210" xr:uid="{BD33CD13-3ED5-4EA4-97D6-C8D3CD4AAC94}"/>
    <cellStyle name="Normal 4 3 2 2 2 5 2 3" xfId="11997" xr:uid="{1BDCBDC0-587B-418A-A30D-F8BC7221EE51}"/>
    <cellStyle name="Normal 4 3 2 2 2 5 3" xfId="5570" xr:uid="{00000000-0005-0000-0000-00004E140000}"/>
    <cellStyle name="Normal 4 3 2 2 2 5 3 2" xfId="14065" xr:uid="{325D2C41-79ED-4AB7-ACA8-DAA3D3B2A539}"/>
    <cellStyle name="Normal 4 3 2 2 2 5 4" xfId="9852" xr:uid="{184B5303-93E7-477C-8A19-62456A13DB04}"/>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623" xr:uid="{222EC53F-68B5-43F2-983A-50EC972D5410}"/>
    <cellStyle name="Normal 4 3 2 2 2 6 2 3" xfId="12410" xr:uid="{38CF303C-736E-4FCD-B1A2-EE2981BB6B09}"/>
    <cellStyle name="Normal 4 3 2 2 2 6 3" xfId="5983" xr:uid="{00000000-0005-0000-0000-000052140000}"/>
    <cellStyle name="Normal 4 3 2 2 2 6 3 2" xfId="14478" xr:uid="{EE0D134B-C8E0-478C-9F2D-41178A5328A9}"/>
    <cellStyle name="Normal 4 3 2 2 2 6 4" xfId="10265" xr:uid="{2F48AB82-2A21-4360-9E03-033E1E67C7A2}"/>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036" xr:uid="{D3AFDD34-ABDA-4017-8735-643A23469C7A}"/>
    <cellStyle name="Normal 4 3 2 2 2 7 2 3" xfId="12823" xr:uid="{92691F10-5C0B-4E55-BA7B-0B44EAC8F0FC}"/>
    <cellStyle name="Normal 4 3 2 2 2 7 3" xfId="6396" xr:uid="{00000000-0005-0000-0000-000056140000}"/>
    <cellStyle name="Normal 4 3 2 2 2 7 3 2" xfId="14891" xr:uid="{ACE9D7AB-88A8-421D-B0CC-16EF888ED226}"/>
    <cellStyle name="Normal 4 3 2 2 2 7 4" xfId="10678" xr:uid="{85E70ABF-F295-420A-A718-0B0C42DB7A11}"/>
    <cellStyle name="Normal 4 3 2 2 2 8" xfId="2526" xr:uid="{00000000-0005-0000-0000-000057140000}"/>
    <cellStyle name="Normal 4 3 2 2 2 8 2" xfId="6809" xr:uid="{00000000-0005-0000-0000-000058140000}"/>
    <cellStyle name="Normal 4 3 2 2 2 8 2 2" xfId="15304" xr:uid="{6B6B2288-8637-4F0D-A7A4-21DF518D4351}"/>
    <cellStyle name="Normal 4 3 2 2 2 8 3" xfId="11091" xr:uid="{04E0F465-047B-4B5A-97DC-8FBD34C3D417}"/>
    <cellStyle name="Normal 4 3 2 2 2 9" xfId="4744" xr:uid="{00000000-0005-0000-0000-000059140000}"/>
    <cellStyle name="Normal 4 3 2 2 2 9 2" xfId="13239" xr:uid="{922B9367-3029-4B2C-A91F-7DEBBE97D2A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803" xr:uid="{E7C66429-405A-47A0-BE5A-EDB1CFE53C08}"/>
    <cellStyle name="Normal 4 3 3 2 2 2 2 3" xfId="11590" xr:uid="{CD04FE04-6027-4F07-BEA2-C365CBBFFEFC}"/>
    <cellStyle name="Normal 4 3 3 2 2 2 3" xfId="5163" xr:uid="{00000000-0005-0000-0000-000063140000}"/>
    <cellStyle name="Normal 4 3 3 2 2 2 3 2" xfId="13658" xr:uid="{B4E8EE28-D1B8-4567-8005-3379C44BB6D5}"/>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216" xr:uid="{56173B9A-7AD8-45F0-8463-C54CE33DE42D}"/>
    <cellStyle name="Normal 4 3 3 2 2 3 2 3" xfId="12003" xr:uid="{0D09298A-0841-460B-BCA7-519769412C34}"/>
    <cellStyle name="Normal 4 3 3 2 2 3 3" xfId="5576" xr:uid="{00000000-0005-0000-0000-000067140000}"/>
    <cellStyle name="Normal 4 3 3 2 2 3 3 2" xfId="14071" xr:uid="{4BE001A1-FE32-4E61-B4B9-419E56E5C984}"/>
    <cellStyle name="Normal 4 3 3 2 2 3 4" xfId="9858" xr:uid="{C4DCB402-A4B0-4DDF-B921-ECE65B7BED1D}"/>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629" xr:uid="{973D49E7-30A9-414F-BE34-BF918493BDDD}"/>
    <cellStyle name="Normal 4 3 3 2 2 4 2 3" xfId="12416" xr:uid="{E4D35602-895B-4E20-AAA9-DE6DEB57B933}"/>
    <cellStyle name="Normal 4 3 3 2 2 4 3" xfId="5989" xr:uid="{00000000-0005-0000-0000-00006B140000}"/>
    <cellStyle name="Normal 4 3 3 2 2 4 3 2" xfId="14484" xr:uid="{3198DF77-7E94-4175-86B0-BDA7F53F884B}"/>
    <cellStyle name="Normal 4 3 3 2 2 4 4" xfId="10271" xr:uid="{2C2D647C-681A-4443-B00F-E771545697DB}"/>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042" xr:uid="{4AFC86C1-6B3A-44E7-8CC0-9989FD32C186}"/>
    <cellStyle name="Normal 4 3 3 2 2 5 2 3" xfId="12829" xr:uid="{F5340B72-2729-44D7-A21D-1B8976B2AF32}"/>
    <cellStyle name="Normal 4 3 3 2 2 5 3" xfId="6402" xr:uid="{00000000-0005-0000-0000-00006F140000}"/>
    <cellStyle name="Normal 4 3 3 2 2 5 3 2" xfId="14897" xr:uid="{8E02CCA7-32B9-48D9-A16B-BDBCDD7493A5}"/>
    <cellStyle name="Normal 4 3 3 2 2 5 4" xfId="10684" xr:uid="{2CECA3DD-B4A4-428C-B518-9510F375223D}"/>
    <cellStyle name="Normal 4 3 3 2 2 6" xfId="2532" xr:uid="{00000000-0005-0000-0000-000070140000}"/>
    <cellStyle name="Normal 4 3 3 2 2 6 2" xfId="6815" xr:uid="{00000000-0005-0000-0000-000071140000}"/>
    <cellStyle name="Normal 4 3 3 2 2 6 2 2" xfId="15310" xr:uid="{EA74A858-3CBA-4EF7-9732-3F381075D39B}"/>
    <cellStyle name="Normal 4 3 3 2 2 6 3" xfId="11097" xr:uid="{6CC45B01-705D-4435-8A78-6B8A50FB0DDE}"/>
    <cellStyle name="Normal 4 3 3 2 2 7" xfId="4750" xr:uid="{00000000-0005-0000-0000-000072140000}"/>
    <cellStyle name="Normal 4 3 3 2 2 7 2" xfId="13245" xr:uid="{AF200C72-41DC-40B9-A2F3-AD56D8638A3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802" xr:uid="{894A787D-69DF-433A-A8E7-46E3D90A4CD7}"/>
    <cellStyle name="Normal 4 3 3 2 3 2 3" xfId="11589" xr:uid="{2FA9DCF1-8CBF-4404-AB68-F713788F9975}"/>
    <cellStyle name="Normal 4 3 3 2 3 3" xfId="5162" xr:uid="{00000000-0005-0000-0000-000076140000}"/>
    <cellStyle name="Normal 4 3 3 2 3 3 2" xfId="13657" xr:uid="{EF050D26-D75A-47D3-A5B4-2339BA37EDD4}"/>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215" xr:uid="{E56D3B14-8C04-4BA7-A230-106376887256}"/>
    <cellStyle name="Normal 4 3 3 2 4 2 3" xfId="12002" xr:uid="{47C124A7-BEA5-4B5B-A989-B9A34CC0256D}"/>
    <cellStyle name="Normal 4 3 3 2 4 3" xfId="5575" xr:uid="{00000000-0005-0000-0000-00007A140000}"/>
    <cellStyle name="Normal 4 3 3 2 4 3 2" xfId="14070" xr:uid="{F9FC9DFA-3E42-492A-A433-EDB75471468A}"/>
    <cellStyle name="Normal 4 3 3 2 4 4" xfId="9857" xr:uid="{AE57733A-3618-4CEC-8612-A45EEF76AD99}"/>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628" xr:uid="{38E9C483-8EAE-471D-AAAD-56328BEA8876}"/>
    <cellStyle name="Normal 4 3 3 2 5 2 3" xfId="12415" xr:uid="{8DFD9DAA-DB9E-499F-9042-C86FFD594558}"/>
    <cellStyle name="Normal 4 3 3 2 5 3" xfId="5988" xr:uid="{00000000-0005-0000-0000-00007E140000}"/>
    <cellStyle name="Normal 4 3 3 2 5 3 2" xfId="14483" xr:uid="{9C8C972F-F297-49DF-BECB-3706E0A5E50B}"/>
    <cellStyle name="Normal 4 3 3 2 5 4" xfId="10270" xr:uid="{66F79A0E-8181-423E-BD4D-EC70BFF4234E}"/>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041" xr:uid="{9849E708-433B-42EF-967E-6A73E7C4631C}"/>
    <cellStyle name="Normal 4 3 3 2 6 2 3" xfId="12828" xr:uid="{0ACFB27A-BFBE-4F5D-844B-60FD0DD02E83}"/>
    <cellStyle name="Normal 4 3 3 2 6 3" xfId="6401" xr:uid="{00000000-0005-0000-0000-000082140000}"/>
    <cellStyle name="Normal 4 3 3 2 6 3 2" xfId="14896" xr:uid="{C09E17F3-998E-4188-99F9-0E5E18C6B2ED}"/>
    <cellStyle name="Normal 4 3 3 2 6 4" xfId="10683" xr:uid="{700994B1-44EC-4C9D-9F31-576DD0414052}"/>
    <cellStyle name="Normal 4 3 3 2 7" xfId="2531" xr:uid="{00000000-0005-0000-0000-000083140000}"/>
    <cellStyle name="Normal 4 3 3 2 7 2" xfId="6814" xr:uid="{00000000-0005-0000-0000-000084140000}"/>
    <cellStyle name="Normal 4 3 3 2 7 2 2" xfId="15309" xr:uid="{6154BFA3-A3E8-4B24-8DC4-73C3ABE2060E}"/>
    <cellStyle name="Normal 4 3 3 2 7 3" xfId="11096" xr:uid="{3ABEFED8-CC47-477E-B0FC-6129C8EF0656}"/>
    <cellStyle name="Normal 4 3 3 2 8" xfId="4749" xr:uid="{00000000-0005-0000-0000-000085140000}"/>
    <cellStyle name="Normal 4 3 3 2 8 2" xfId="13244" xr:uid="{0CEC5336-1ECD-46D6-8EEE-C8C18BB913D4}"/>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804" xr:uid="{1C90434D-D11C-49FC-9D78-EA6516D1D83E}"/>
    <cellStyle name="Normal 4 3 3 3 2 2 3" xfId="11591" xr:uid="{56C36B04-8601-47B5-96C6-EBE0565F9F57}"/>
    <cellStyle name="Normal 4 3 3 3 2 3" xfId="5164" xr:uid="{00000000-0005-0000-0000-00008A140000}"/>
    <cellStyle name="Normal 4 3 3 3 2 3 2" xfId="13659" xr:uid="{52F9FB6E-C74D-48D2-9EDB-93006171AA44}"/>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217" xr:uid="{C6A4115C-C1E8-4EF2-9E0E-A8C9E800B6F3}"/>
    <cellStyle name="Normal 4 3 3 3 3 2 3" xfId="12004" xr:uid="{81BCA683-943F-4C1F-BE4C-D0BC1A0B53DD}"/>
    <cellStyle name="Normal 4 3 3 3 3 3" xfId="5577" xr:uid="{00000000-0005-0000-0000-00008E140000}"/>
    <cellStyle name="Normal 4 3 3 3 3 3 2" xfId="14072" xr:uid="{C5B718D5-3671-4CCB-898E-232724778D80}"/>
    <cellStyle name="Normal 4 3 3 3 3 4" xfId="9859" xr:uid="{7B758DFE-5E17-41FE-ABD1-C9D83022A3E7}"/>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630" xr:uid="{D2774C39-564D-44EA-BCCE-21AB171036CB}"/>
    <cellStyle name="Normal 4 3 3 3 4 2 3" xfId="12417" xr:uid="{DDB36B6A-9DAA-4C5D-98DA-4B5D8FBF9927}"/>
    <cellStyle name="Normal 4 3 3 3 4 3" xfId="5990" xr:uid="{00000000-0005-0000-0000-000092140000}"/>
    <cellStyle name="Normal 4 3 3 3 4 3 2" xfId="14485" xr:uid="{649F2672-3B04-43FD-B19A-63A05FD8C363}"/>
    <cellStyle name="Normal 4 3 3 3 4 4" xfId="10272" xr:uid="{A6DAEA0C-EBA3-45FC-85F0-D57377543C33}"/>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043" xr:uid="{BA846B20-34E4-42D8-B67D-97B8AEFFE034}"/>
    <cellStyle name="Normal 4 3 3 3 5 2 3" xfId="12830" xr:uid="{2B91DC47-57BA-4B30-B4A0-9007870B8CA4}"/>
    <cellStyle name="Normal 4 3 3 3 5 3" xfId="6403" xr:uid="{00000000-0005-0000-0000-000096140000}"/>
    <cellStyle name="Normal 4 3 3 3 5 3 2" xfId="14898" xr:uid="{00254E6E-3C8A-400B-BDF9-1A90B6A61981}"/>
    <cellStyle name="Normal 4 3 3 3 5 4" xfId="10685" xr:uid="{E5E6C7CC-57DD-4CBE-B696-C2704F977F41}"/>
    <cellStyle name="Normal 4 3 3 3 6" xfId="2533" xr:uid="{00000000-0005-0000-0000-000097140000}"/>
    <cellStyle name="Normal 4 3 3 3 6 2" xfId="6816" xr:uid="{00000000-0005-0000-0000-000098140000}"/>
    <cellStyle name="Normal 4 3 3 3 6 2 2" xfId="15311" xr:uid="{0362FC83-BDEA-43D5-86A8-A0E29BF91A1D}"/>
    <cellStyle name="Normal 4 3 3 3 6 3" xfId="11098" xr:uid="{D1930390-0C11-4D18-80E6-24E074505E99}"/>
    <cellStyle name="Normal 4 3 3 3 7" xfId="4751" xr:uid="{00000000-0005-0000-0000-000099140000}"/>
    <cellStyle name="Normal 4 3 3 3 7 2" xfId="13246" xr:uid="{7B262D89-3354-4781-8BC3-66F6D14C6F4A}"/>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2 2 2" xfId="15801" xr:uid="{8F5C8346-5F19-4AB8-8FCA-BF94AFC4CC35}"/>
    <cellStyle name="Normal 4 3 3 4 2 3" xfId="11588" xr:uid="{C374D0C3-3850-4808-9991-4F6B3A28088E}"/>
    <cellStyle name="Normal 4 3 3 4 3" xfId="5161" xr:uid="{00000000-0005-0000-0000-00009D140000}"/>
    <cellStyle name="Normal 4 3 3 4 3 2" xfId="13656" xr:uid="{1D14F48F-3C29-4396-92EC-696298AA4F97}"/>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2 2 2" xfId="16214" xr:uid="{E0459715-A769-4245-9926-4B4DB48A3C2A}"/>
    <cellStyle name="Normal 4 3 3 5 2 3" xfId="12001" xr:uid="{7C9229CD-E812-46BE-90EF-A1D724DBBA87}"/>
    <cellStyle name="Normal 4 3 3 5 3" xfId="5574" xr:uid="{00000000-0005-0000-0000-0000A1140000}"/>
    <cellStyle name="Normal 4 3 3 5 3 2" xfId="14069" xr:uid="{1376EFF0-4C9D-4E13-A610-B4997B7942F7}"/>
    <cellStyle name="Normal 4 3 3 5 4" xfId="9856" xr:uid="{BFE2CF32-E004-49CA-A80F-414EAC9D601A}"/>
    <cellStyle name="Normal 4 3 3 6" xfId="1680" xr:uid="{00000000-0005-0000-0000-0000A2140000}"/>
    <cellStyle name="Normal 4 3 3 6 2" xfId="3910" xr:uid="{00000000-0005-0000-0000-0000A3140000}"/>
    <cellStyle name="Normal 4 3 3 6 2 2" xfId="8132" xr:uid="{00000000-0005-0000-0000-0000A4140000}"/>
    <cellStyle name="Normal 4 3 3 6 2 2 2" xfId="16627" xr:uid="{94280400-1703-4852-9055-2BE71B0C874D}"/>
    <cellStyle name="Normal 4 3 3 6 2 3" xfId="12414" xr:uid="{9200D790-55A8-45AF-BB51-A4281C037C23}"/>
    <cellStyle name="Normal 4 3 3 6 3" xfId="5987" xr:uid="{00000000-0005-0000-0000-0000A5140000}"/>
    <cellStyle name="Normal 4 3 3 6 3 2" xfId="14482" xr:uid="{55559CB2-3098-4BB7-93C0-8FB43EA02644}"/>
    <cellStyle name="Normal 4 3 3 6 4" xfId="10269" xr:uid="{4B150D24-3856-4AFA-8FCF-69495050F188}"/>
    <cellStyle name="Normal 4 3 3 7" xfId="2094" xr:uid="{00000000-0005-0000-0000-0000A6140000}"/>
    <cellStyle name="Normal 4 3 3 7 2" xfId="4323" xr:uid="{00000000-0005-0000-0000-0000A7140000}"/>
    <cellStyle name="Normal 4 3 3 7 2 2" xfId="8545" xr:uid="{00000000-0005-0000-0000-0000A8140000}"/>
    <cellStyle name="Normal 4 3 3 7 2 2 2" xfId="17040" xr:uid="{C60F3F82-9DC7-4D28-9DEE-D5348DD2778A}"/>
    <cellStyle name="Normal 4 3 3 7 2 3" xfId="12827" xr:uid="{28461690-6D6C-4F6E-9879-82316945D698}"/>
    <cellStyle name="Normal 4 3 3 7 3" xfId="6400" xr:uid="{00000000-0005-0000-0000-0000A9140000}"/>
    <cellStyle name="Normal 4 3 3 7 3 2" xfId="14895" xr:uid="{B8932B40-028C-4A28-B0E6-2A1611586E4A}"/>
    <cellStyle name="Normal 4 3 3 7 4" xfId="10682" xr:uid="{B14C8571-9D40-4C34-8E6B-5F8B1DAC7F36}"/>
    <cellStyle name="Normal 4 3 3 8" xfId="2530" xr:uid="{00000000-0005-0000-0000-0000AA140000}"/>
    <cellStyle name="Normal 4 3 3 8 2" xfId="6813" xr:uid="{00000000-0005-0000-0000-0000AB140000}"/>
    <cellStyle name="Normal 4 3 3 8 2 2" xfId="15308" xr:uid="{F26D85DE-60C7-40BF-BEF1-7B97DF275D24}"/>
    <cellStyle name="Normal 4 3 3 8 3" xfId="11095" xr:uid="{4C733310-11EC-40AF-9C24-452AD87181D2}"/>
    <cellStyle name="Normal 4 3 3 9" xfId="4748" xr:uid="{00000000-0005-0000-0000-0000AC140000}"/>
    <cellStyle name="Normal 4 3 3 9 2" xfId="13243" xr:uid="{1AD946CC-D9C9-4221-BDD4-62D2D2847E02}"/>
    <cellStyle name="Normal 4 3 4" xfId="842" xr:uid="{00000000-0005-0000-0000-0000AD140000}"/>
    <cellStyle name="Normal 4 3 4 2" xfId="3079" xr:uid="{00000000-0005-0000-0000-0000AE140000}"/>
    <cellStyle name="Normal 4 3 4 2 2" xfId="7301" xr:uid="{00000000-0005-0000-0000-0000AF140000}"/>
    <cellStyle name="Normal 4 3 4 2 2 2" xfId="15796" xr:uid="{65FBEFBA-4800-4B6E-AAC1-2A1E0EC75A9A}"/>
    <cellStyle name="Normal 4 3 4 2 3" xfId="11583" xr:uid="{3563FF8F-38D1-4D27-B537-12EA4C508E44}"/>
    <cellStyle name="Normal 4 3 4 3" xfId="5156" xr:uid="{00000000-0005-0000-0000-0000B0140000}"/>
    <cellStyle name="Normal 4 3 4 3 2" xfId="13651" xr:uid="{619134BD-B1F7-41B3-87C7-FAB1EC095726}"/>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2 2 2" xfId="16209" xr:uid="{0609AA96-64C2-4B5D-8A0D-B2F3FC7B1DE9}"/>
    <cellStyle name="Normal 4 3 5 2 3" xfId="11996" xr:uid="{E8000898-FAA8-49E9-952F-1F15085431DC}"/>
    <cellStyle name="Normal 4 3 5 3" xfId="5569" xr:uid="{00000000-0005-0000-0000-0000B4140000}"/>
    <cellStyle name="Normal 4 3 5 3 2" xfId="14064" xr:uid="{50AE049D-094E-4180-9840-CE6023C4F9A7}"/>
    <cellStyle name="Normal 4 3 5 4" xfId="9851" xr:uid="{0372B73E-B46C-4155-A076-6B5E1DEE2C5A}"/>
    <cellStyle name="Normal 4 3 6" xfId="1675" xr:uid="{00000000-0005-0000-0000-0000B5140000}"/>
    <cellStyle name="Normal 4 3 6 2" xfId="3905" xr:uid="{00000000-0005-0000-0000-0000B6140000}"/>
    <cellStyle name="Normal 4 3 6 2 2" xfId="8127" xr:uid="{00000000-0005-0000-0000-0000B7140000}"/>
    <cellStyle name="Normal 4 3 6 2 2 2" xfId="16622" xr:uid="{ED614C21-9992-4B5A-B8F9-09C5F060D201}"/>
    <cellStyle name="Normal 4 3 6 2 3" xfId="12409" xr:uid="{86F5B6F2-50F9-4F80-B814-FF4881B7537B}"/>
    <cellStyle name="Normal 4 3 6 3" xfId="5982" xr:uid="{00000000-0005-0000-0000-0000B8140000}"/>
    <cellStyle name="Normal 4 3 6 3 2" xfId="14477" xr:uid="{63B98AFC-283F-4193-B8FD-995AE87436A5}"/>
    <cellStyle name="Normal 4 3 6 4" xfId="10264" xr:uid="{EEB5069A-72E9-458B-AD61-597C23291FFB}"/>
    <cellStyle name="Normal 4 3 7" xfId="2089" xr:uid="{00000000-0005-0000-0000-0000B9140000}"/>
    <cellStyle name="Normal 4 3 7 2" xfId="4318" xr:uid="{00000000-0005-0000-0000-0000BA140000}"/>
    <cellStyle name="Normal 4 3 7 2 2" xfId="8540" xr:uid="{00000000-0005-0000-0000-0000BB140000}"/>
    <cellStyle name="Normal 4 3 7 2 2 2" xfId="17035" xr:uid="{C8A52676-33C8-4E36-B71E-9AD53A8AA026}"/>
    <cellStyle name="Normal 4 3 7 2 3" xfId="12822" xr:uid="{D3136943-6EBD-4BF0-8E91-7ACDE672310F}"/>
    <cellStyle name="Normal 4 3 7 3" xfId="6395" xr:uid="{00000000-0005-0000-0000-0000BC140000}"/>
    <cellStyle name="Normal 4 3 7 3 2" xfId="14890" xr:uid="{02844215-A9FA-4E24-A057-4B87F5AEB9E5}"/>
    <cellStyle name="Normal 4 3 7 4" xfId="10677" xr:uid="{FB651086-E368-4269-84D8-EB96689CA1AF}"/>
    <cellStyle name="Normal 4 3 8" xfId="2525" xr:uid="{00000000-0005-0000-0000-0000BD140000}"/>
    <cellStyle name="Normal 4 3 8 2" xfId="6808" xr:uid="{00000000-0005-0000-0000-0000BE140000}"/>
    <cellStyle name="Normal 4 3 8 2 2" xfId="15303" xr:uid="{FC7A60AF-5D20-4C83-9E72-CE76D115F863}"/>
    <cellStyle name="Normal 4 3 8 3" xfId="11090" xr:uid="{130FDA6E-E38A-4D82-AE6A-BFD1A4878136}"/>
    <cellStyle name="Normal 4 3 9" xfId="4743" xr:uid="{00000000-0005-0000-0000-0000BF140000}"/>
    <cellStyle name="Normal 4 3 9 2" xfId="13238" xr:uid="{78622225-1CC9-43B9-9FEF-B07A74225F5D}"/>
    <cellStyle name="Normal 4 4" xfId="378" xr:uid="{00000000-0005-0000-0000-0000C0140000}"/>
    <cellStyle name="Normal 4 4 10" xfId="2534" xr:uid="{00000000-0005-0000-0000-0000C1140000}"/>
    <cellStyle name="Normal 4 4 10 2" xfId="6817" xr:uid="{00000000-0005-0000-0000-0000C2140000}"/>
    <cellStyle name="Normal 4 4 10 2 2" xfId="15312" xr:uid="{8A7ABF57-0946-46CC-8006-F2311E47B0BD}"/>
    <cellStyle name="Normal 4 4 10 3" xfId="11099" xr:uid="{9BA9F8EF-F59F-4C78-84CF-39C863D94159}"/>
    <cellStyle name="Normal 4 4 11" xfId="4752" xr:uid="{00000000-0005-0000-0000-0000C3140000}"/>
    <cellStyle name="Normal 4 4 11 2" xfId="13247" xr:uid="{B6F9B26B-97A1-4DAF-8026-68C98DBA2B78}"/>
    <cellStyle name="Normal 4 4 12" xfId="8749" xr:uid="{A91736B6-873D-4B1A-8B29-18DC69E5E65F}"/>
    <cellStyle name="Normal 4 4 2" xfId="379" xr:uid="{00000000-0005-0000-0000-0000C4140000}"/>
    <cellStyle name="Normal 4 4 2 10" xfId="4753" xr:uid="{00000000-0005-0000-0000-0000C5140000}"/>
    <cellStyle name="Normal 4 4 2 10 2" xfId="13248" xr:uid="{401AE2A2-68E3-4B7A-91BC-2342007C09C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809" xr:uid="{FEF7C510-9EE1-4610-8402-97C669313C36}"/>
    <cellStyle name="Normal 4 4 2 2 2 2 2 2 3" xfId="11596" xr:uid="{B6307A46-4A0B-4F4A-848E-326FCC3EFB7B}"/>
    <cellStyle name="Normal 4 4 2 2 2 2 2 3" xfId="5169" xr:uid="{00000000-0005-0000-0000-0000CC140000}"/>
    <cellStyle name="Normal 4 4 2 2 2 2 2 3 2" xfId="13664" xr:uid="{4E4957E3-696F-4C66-A908-40D2CB2A3B2F}"/>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222" xr:uid="{80C04FE8-A71C-4967-8418-E0080264C6E4}"/>
    <cellStyle name="Normal 4 4 2 2 2 2 3 2 3" xfId="12009" xr:uid="{84002757-3705-4D02-9D64-B42939AC796F}"/>
    <cellStyle name="Normal 4 4 2 2 2 2 3 3" xfId="5582" xr:uid="{00000000-0005-0000-0000-0000D0140000}"/>
    <cellStyle name="Normal 4 4 2 2 2 2 3 3 2" xfId="14077" xr:uid="{58BB492B-ED9F-4D65-9DDC-9F2FCA0A1F83}"/>
    <cellStyle name="Normal 4 4 2 2 2 2 3 4" xfId="9864" xr:uid="{60D64404-7D3E-429F-9487-D7B19CC104AA}"/>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635" xr:uid="{6BE48B3E-F95A-4EC8-83CE-AE927636116E}"/>
    <cellStyle name="Normal 4 4 2 2 2 2 4 2 3" xfId="12422" xr:uid="{F5EDB8CD-B661-41DE-BDC4-63E5ACB1A5C5}"/>
    <cellStyle name="Normal 4 4 2 2 2 2 4 3" xfId="5995" xr:uid="{00000000-0005-0000-0000-0000D4140000}"/>
    <cellStyle name="Normal 4 4 2 2 2 2 4 3 2" xfId="14490" xr:uid="{E1477FF7-D6A0-4D8A-86FF-657EEE475EA1}"/>
    <cellStyle name="Normal 4 4 2 2 2 2 4 4" xfId="10277" xr:uid="{B3C55028-2F38-4878-8877-105D33361C2F}"/>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48" xr:uid="{9CF30571-678D-422F-BAB0-04F31E0C5FF2}"/>
    <cellStyle name="Normal 4 4 2 2 2 2 5 2 3" xfId="12835" xr:uid="{DA25CDBA-0459-4783-94CF-1EC1D21BE249}"/>
    <cellStyle name="Normal 4 4 2 2 2 2 5 3" xfId="6408" xr:uid="{00000000-0005-0000-0000-0000D8140000}"/>
    <cellStyle name="Normal 4 4 2 2 2 2 5 3 2" xfId="14903" xr:uid="{CDA86983-74A2-4C7F-A213-A630A0792B77}"/>
    <cellStyle name="Normal 4 4 2 2 2 2 5 4" xfId="10690" xr:uid="{8E5D3BAE-6A1C-410A-BA67-8C674F837CEC}"/>
    <cellStyle name="Normal 4 4 2 2 2 2 6" xfId="2538" xr:uid="{00000000-0005-0000-0000-0000D9140000}"/>
    <cellStyle name="Normal 4 4 2 2 2 2 6 2" xfId="6821" xr:uid="{00000000-0005-0000-0000-0000DA140000}"/>
    <cellStyle name="Normal 4 4 2 2 2 2 6 2 2" xfId="15316" xr:uid="{64EBF81B-7B2E-4C79-A8FC-0883961CBCC8}"/>
    <cellStyle name="Normal 4 4 2 2 2 2 6 3" xfId="11103" xr:uid="{E1EE9DBB-EC64-4DAB-B691-CBA3ADA3E6C5}"/>
    <cellStyle name="Normal 4 4 2 2 2 2 7" xfId="4756" xr:uid="{00000000-0005-0000-0000-0000DB140000}"/>
    <cellStyle name="Normal 4 4 2 2 2 2 7 2" xfId="13251" xr:uid="{A6E4AA00-B9CD-4F6F-80E5-13A1C50DA542}"/>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808" xr:uid="{CC645A03-F326-4769-ACB0-66CC899B0007}"/>
    <cellStyle name="Normal 4 4 2 2 2 3 2 3" xfId="11595" xr:uid="{865766FF-83C5-4CE1-A931-1BD19C2442A0}"/>
    <cellStyle name="Normal 4 4 2 2 2 3 3" xfId="5168" xr:uid="{00000000-0005-0000-0000-0000DF140000}"/>
    <cellStyle name="Normal 4 4 2 2 2 3 3 2" xfId="13663" xr:uid="{9E477BBE-F268-41C6-85BE-D1C0B8270177}"/>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221" xr:uid="{F67D7F50-7D8F-4AD7-A208-7668B5D03F33}"/>
    <cellStyle name="Normal 4 4 2 2 2 4 2 3" xfId="12008" xr:uid="{F7A2C9C1-3561-47F1-86A2-18B3E1E509A6}"/>
    <cellStyle name="Normal 4 4 2 2 2 4 3" xfId="5581" xr:uid="{00000000-0005-0000-0000-0000E3140000}"/>
    <cellStyle name="Normal 4 4 2 2 2 4 3 2" xfId="14076" xr:uid="{3C1640B5-D175-476A-B983-248D7BA587E7}"/>
    <cellStyle name="Normal 4 4 2 2 2 4 4" xfId="9863" xr:uid="{5EBB0C8D-BFF7-4319-B54E-655EE6192A76}"/>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634" xr:uid="{3A10208B-1E49-4378-9C63-D833F1165CA1}"/>
    <cellStyle name="Normal 4 4 2 2 2 5 2 3" xfId="12421" xr:uid="{BD936ABB-B9EB-4EF5-BEA0-8005945CE68D}"/>
    <cellStyle name="Normal 4 4 2 2 2 5 3" xfId="5994" xr:uid="{00000000-0005-0000-0000-0000E7140000}"/>
    <cellStyle name="Normal 4 4 2 2 2 5 3 2" xfId="14489" xr:uid="{146F1143-4EBA-4D30-8793-6AE060E6654A}"/>
    <cellStyle name="Normal 4 4 2 2 2 5 4" xfId="10276" xr:uid="{DEBAF8DD-78A6-456D-B177-D40BD032489E}"/>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47" xr:uid="{88F14FD2-AFD4-4060-9D10-9C9D8EE25E36}"/>
    <cellStyle name="Normal 4 4 2 2 2 6 2 3" xfId="12834" xr:uid="{A9A0A6B5-D2F4-4BA5-A232-F3B92080EDC1}"/>
    <cellStyle name="Normal 4 4 2 2 2 6 3" xfId="6407" xr:uid="{00000000-0005-0000-0000-0000EB140000}"/>
    <cellStyle name="Normal 4 4 2 2 2 6 3 2" xfId="14902" xr:uid="{CE3BBC63-38AB-469B-8BF7-82A29D63DBC8}"/>
    <cellStyle name="Normal 4 4 2 2 2 6 4" xfId="10689" xr:uid="{5A539F7E-C503-4DB4-9F6D-4C276CFA4625}"/>
    <cellStyle name="Normal 4 4 2 2 2 7" xfId="2537" xr:uid="{00000000-0005-0000-0000-0000EC140000}"/>
    <cellStyle name="Normal 4 4 2 2 2 7 2" xfId="6820" xr:uid="{00000000-0005-0000-0000-0000ED140000}"/>
    <cellStyle name="Normal 4 4 2 2 2 7 2 2" xfId="15315" xr:uid="{7B031D23-61FC-4AA9-856C-2274AE9C7061}"/>
    <cellStyle name="Normal 4 4 2 2 2 7 3" xfId="11102" xr:uid="{FB118ADC-D57F-4869-931B-E2A6063D0F61}"/>
    <cellStyle name="Normal 4 4 2 2 2 8" xfId="4755" xr:uid="{00000000-0005-0000-0000-0000EE140000}"/>
    <cellStyle name="Normal 4 4 2 2 2 8 2" xfId="13250" xr:uid="{B2A3A4EF-14E8-4413-A1B2-A7500FFE3838}"/>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810" xr:uid="{8A2E73F3-F1DA-4FFC-84D5-45DFD7B63CD7}"/>
    <cellStyle name="Normal 4 4 2 2 3 2 2 3" xfId="11597" xr:uid="{781E466B-B091-4468-905B-32492CAB5FB2}"/>
    <cellStyle name="Normal 4 4 2 2 3 2 3" xfId="5170" xr:uid="{00000000-0005-0000-0000-0000F3140000}"/>
    <cellStyle name="Normal 4 4 2 2 3 2 3 2" xfId="13665" xr:uid="{20E725B6-2459-429D-921B-FDBACC2D83E4}"/>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223" xr:uid="{5F41EF64-BFD8-4AF6-8233-BFCA20007410}"/>
    <cellStyle name="Normal 4 4 2 2 3 3 2 3" xfId="12010" xr:uid="{3205E03B-B24C-4A40-B271-862740CE7853}"/>
    <cellStyle name="Normal 4 4 2 2 3 3 3" xfId="5583" xr:uid="{00000000-0005-0000-0000-0000F7140000}"/>
    <cellStyle name="Normal 4 4 2 2 3 3 3 2" xfId="14078" xr:uid="{D525BC7C-AB89-4927-9C09-D4D23A6A8C93}"/>
    <cellStyle name="Normal 4 4 2 2 3 3 4" xfId="9865" xr:uid="{8FA3F667-4C64-4F75-BA53-DD560A91878D}"/>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636" xr:uid="{1F79F843-DEFF-4BE0-842A-9581BB6BDFF2}"/>
    <cellStyle name="Normal 4 4 2 2 3 4 2 3" xfId="12423" xr:uid="{91D24C64-FA0A-4780-BB33-2110E5728E75}"/>
    <cellStyle name="Normal 4 4 2 2 3 4 3" xfId="5996" xr:uid="{00000000-0005-0000-0000-0000FB140000}"/>
    <cellStyle name="Normal 4 4 2 2 3 4 3 2" xfId="14491" xr:uid="{DC819171-7D00-4026-ABDC-99F26C92427F}"/>
    <cellStyle name="Normal 4 4 2 2 3 4 4" xfId="10278" xr:uid="{57A40876-1C7C-47EE-A733-6F9A212042A9}"/>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49" xr:uid="{02AFA9C4-A0B3-4B9E-8F04-FC1BAFB02A59}"/>
    <cellStyle name="Normal 4 4 2 2 3 5 2 3" xfId="12836" xr:uid="{5460A768-DAAF-44E0-B48D-44AD4D665E06}"/>
    <cellStyle name="Normal 4 4 2 2 3 5 3" xfId="6409" xr:uid="{00000000-0005-0000-0000-0000FF140000}"/>
    <cellStyle name="Normal 4 4 2 2 3 5 3 2" xfId="14904" xr:uid="{4EF2D9BA-84CD-4CAB-8649-F9E98715F7F9}"/>
    <cellStyle name="Normal 4 4 2 2 3 5 4" xfId="10691" xr:uid="{8E63F9AF-0A8A-44CB-8E87-B6DD5D3E08BB}"/>
    <cellStyle name="Normal 4 4 2 2 3 6" xfId="2539" xr:uid="{00000000-0005-0000-0000-000000150000}"/>
    <cellStyle name="Normal 4 4 2 2 3 6 2" xfId="6822" xr:uid="{00000000-0005-0000-0000-000001150000}"/>
    <cellStyle name="Normal 4 4 2 2 3 6 2 2" xfId="15317" xr:uid="{F338130B-D6A5-4983-8130-532AE466BDCB}"/>
    <cellStyle name="Normal 4 4 2 2 3 6 3" xfId="11104" xr:uid="{FEF975CF-361A-4D7E-B93E-8F4B1E40EC3A}"/>
    <cellStyle name="Normal 4 4 2 2 3 7" xfId="4757" xr:uid="{00000000-0005-0000-0000-000002150000}"/>
    <cellStyle name="Normal 4 4 2 2 3 7 2" xfId="13252" xr:uid="{5376EB9F-3117-463F-9564-A3D4CC912B4B}"/>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807" xr:uid="{1F41646C-006E-475D-9F1F-28A37D0E9FB4}"/>
    <cellStyle name="Normal 4 4 2 2 4 2 3" xfId="11594" xr:uid="{DD0D6EC2-9439-4EC7-BDB6-36755E6BC9B7}"/>
    <cellStyle name="Normal 4 4 2 2 4 3" xfId="5167" xr:uid="{00000000-0005-0000-0000-000006150000}"/>
    <cellStyle name="Normal 4 4 2 2 4 3 2" xfId="13662" xr:uid="{AA71D7E8-F1D7-4B0F-90D9-4B6E56773CF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220" xr:uid="{43F996BC-AB54-4D14-B2B3-6255A52E3179}"/>
    <cellStyle name="Normal 4 4 2 2 5 2 3" xfId="12007" xr:uid="{63FB0445-9BE9-4771-9C2B-C418B310E96F}"/>
    <cellStyle name="Normal 4 4 2 2 5 3" xfId="5580" xr:uid="{00000000-0005-0000-0000-00000A150000}"/>
    <cellStyle name="Normal 4 4 2 2 5 3 2" xfId="14075" xr:uid="{0D9201D7-AEFD-4DED-B0B1-1848108A8DA8}"/>
    <cellStyle name="Normal 4 4 2 2 5 4" xfId="9862" xr:uid="{3F5D7AC7-DE29-4A49-BF8E-FE220691533C}"/>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633" xr:uid="{9F6F77D6-009E-473D-A560-F98C6DD0CB76}"/>
    <cellStyle name="Normal 4 4 2 2 6 2 3" xfId="12420" xr:uid="{E25A8C3D-184B-4B5B-B825-9588C503963D}"/>
    <cellStyle name="Normal 4 4 2 2 6 3" xfId="5993" xr:uid="{00000000-0005-0000-0000-00000E150000}"/>
    <cellStyle name="Normal 4 4 2 2 6 3 2" xfId="14488" xr:uid="{4879CF19-7D71-4136-A90A-5693C3EF7A98}"/>
    <cellStyle name="Normal 4 4 2 2 6 4" xfId="10275" xr:uid="{D1043607-04FF-4212-9CBD-A3A514B059B3}"/>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46" xr:uid="{28BBC1B7-75EE-48E0-936D-E4C974D6198D}"/>
    <cellStyle name="Normal 4 4 2 2 7 2 3" xfId="12833" xr:uid="{B9D22A87-7E45-4600-87A9-3944C6224286}"/>
    <cellStyle name="Normal 4 4 2 2 7 3" xfId="6406" xr:uid="{00000000-0005-0000-0000-000012150000}"/>
    <cellStyle name="Normal 4 4 2 2 7 3 2" xfId="14901" xr:uid="{771519AD-39A6-44F7-BF8D-5D42838AC156}"/>
    <cellStyle name="Normal 4 4 2 2 7 4" xfId="10688" xr:uid="{E41BDF9C-BF00-46AE-8AF0-FB317AF3228F}"/>
    <cellStyle name="Normal 4 4 2 2 8" xfId="2536" xr:uid="{00000000-0005-0000-0000-000013150000}"/>
    <cellStyle name="Normal 4 4 2 2 8 2" xfId="6819" xr:uid="{00000000-0005-0000-0000-000014150000}"/>
    <cellStyle name="Normal 4 4 2 2 8 2 2" xfId="15314" xr:uid="{0022EF9D-7C6C-4798-A843-6A59998F0409}"/>
    <cellStyle name="Normal 4 4 2 2 8 3" xfId="11101" xr:uid="{E9AACA65-55B2-49D1-B401-A99EED5C20A8}"/>
    <cellStyle name="Normal 4 4 2 2 9" xfId="4754" xr:uid="{00000000-0005-0000-0000-000015150000}"/>
    <cellStyle name="Normal 4 4 2 2 9 2" xfId="13249" xr:uid="{298A999F-36AF-4108-822C-4B3A9DCDAEFB}"/>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812" xr:uid="{3FD02072-C01F-41A9-8C07-96824C764704}"/>
    <cellStyle name="Normal 4 4 2 3 2 2 2 3" xfId="11599" xr:uid="{EDEAE75E-0E79-4683-909F-CF0B20D4B776}"/>
    <cellStyle name="Normal 4 4 2 3 2 2 3" xfId="5172" xr:uid="{00000000-0005-0000-0000-00001B150000}"/>
    <cellStyle name="Normal 4 4 2 3 2 2 3 2" xfId="13667" xr:uid="{98B53F96-22AB-48F3-B629-F2BEE1331F71}"/>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225" xr:uid="{E08DBE5A-142A-4940-925C-E5B436E2408F}"/>
    <cellStyle name="Normal 4 4 2 3 2 3 2 3" xfId="12012" xr:uid="{BAB3C636-28AA-4271-AC86-D8CACC7500AF}"/>
    <cellStyle name="Normal 4 4 2 3 2 3 3" xfId="5585" xr:uid="{00000000-0005-0000-0000-00001F150000}"/>
    <cellStyle name="Normal 4 4 2 3 2 3 3 2" xfId="14080" xr:uid="{4C745037-665B-46AC-BAD2-A7132F767AEB}"/>
    <cellStyle name="Normal 4 4 2 3 2 3 4" xfId="9867" xr:uid="{9E1C5C4E-5055-4C98-908E-E7B34970FF6D}"/>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638" xr:uid="{1F2CEEB3-A382-4646-A72A-D48A1F2F929B}"/>
    <cellStyle name="Normal 4 4 2 3 2 4 2 3" xfId="12425" xr:uid="{DE0E053B-4193-436D-85D1-68CD7A9FD175}"/>
    <cellStyle name="Normal 4 4 2 3 2 4 3" xfId="5998" xr:uid="{00000000-0005-0000-0000-000023150000}"/>
    <cellStyle name="Normal 4 4 2 3 2 4 3 2" xfId="14493" xr:uid="{69AEF314-5B61-43FC-9926-315DD760F332}"/>
    <cellStyle name="Normal 4 4 2 3 2 4 4" xfId="10280" xr:uid="{A6D84790-E16B-4D09-A104-2D1AD6EBD6A3}"/>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51" xr:uid="{E752B751-A351-4646-8F74-DC4746D086F1}"/>
    <cellStyle name="Normal 4 4 2 3 2 5 2 3" xfId="12838" xr:uid="{703C0F88-AB35-4ED5-980F-24A2BC611722}"/>
    <cellStyle name="Normal 4 4 2 3 2 5 3" xfId="6411" xr:uid="{00000000-0005-0000-0000-000027150000}"/>
    <cellStyle name="Normal 4 4 2 3 2 5 3 2" xfId="14906" xr:uid="{80BB63F3-AB54-4CCB-B18C-2985AC31459E}"/>
    <cellStyle name="Normal 4 4 2 3 2 5 4" xfId="10693" xr:uid="{09D52C91-E7C7-4D96-9DDE-3972DE9D6E36}"/>
    <cellStyle name="Normal 4 4 2 3 2 6" xfId="2541" xr:uid="{00000000-0005-0000-0000-000028150000}"/>
    <cellStyle name="Normal 4 4 2 3 2 6 2" xfId="6824" xr:uid="{00000000-0005-0000-0000-000029150000}"/>
    <cellStyle name="Normal 4 4 2 3 2 6 2 2" xfId="15319" xr:uid="{CC986392-9F96-483C-909E-AD43692B6122}"/>
    <cellStyle name="Normal 4 4 2 3 2 6 3" xfId="11106" xr:uid="{E4BE0723-9796-4035-A178-3B5950F9DD1E}"/>
    <cellStyle name="Normal 4 4 2 3 2 7" xfId="4759" xr:uid="{00000000-0005-0000-0000-00002A150000}"/>
    <cellStyle name="Normal 4 4 2 3 2 7 2" xfId="13254" xr:uid="{ECF2D0A5-483A-4DF0-921A-96904BB6547D}"/>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811" xr:uid="{5ED34C89-4A5E-4FC0-85D6-05AE4AF55967}"/>
    <cellStyle name="Normal 4 4 2 3 3 2 3" xfId="11598" xr:uid="{82A40C5C-C456-4349-B679-3AF00DBF8111}"/>
    <cellStyle name="Normal 4 4 2 3 3 3" xfId="5171" xr:uid="{00000000-0005-0000-0000-00002E150000}"/>
    <cellStyle name="Normal 4 4 2 3 3 3 2" xfId="13666" xr:uid="{210230D4-63EB-4345-82FA-8665CC21C15A}"/>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224" xr:uid="{547AFC8B-612F-4C80-9253-9C324FDF5D68}"/>
    <cellStyle name="Normal 4 4 2 3 4 2 3" xfId="12011" xr:uid="{E8B142FA-19A5-4187-8F3C-25902E7005F8}"/>
    <cellStyle name="Normal 4 4 2 3 4 3" xfId="5584" xr:uid="{00000000-0005-0000-0000-000032150000}"/>
    <cellStyle name="Normal 4 4 2 3 4 3 2" xfId="14079" xr:uid="{246A8506-59B7-4012-B0CB-F1DECBBA4110}"/>
    <cellStyle name="Normal 4 4 2 3 4 4" xfId="9866" xr:uid="{85F64C99-2D1C-45DB-9DBE-5B7BE954534D}"/>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637" xr:uid="{CBEEF198-BE23-40A6-B382-4AB8F8D456F1}"/>
    <cellStyle name="Normal 4 4 2 3 5 2 3" xfId="12424" xr:uid="{7A4DC56E-64AE-45C2-87B5-D1E2066A4976}"/>
    <cellStyle name="Normal 4 4 2 3 5 3" xfId="5997" xr:uid="{00000000-0005-0000-0000-000036150000}"/>
    <cellStyle name="Normal 4 4 2 3 5 3 2" xfId="14492" xr:uid="{442CB71D-E9B1-4D37-82E8-90CD0B657091}"/>
    <cellStyle name="Normal 4 4 2 3 5 4" xfId="10279" xr:uid="{D481FEA0-D35B-451E-83CD-4436299C4290}"/>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50" xr:uid="{32F30D8C-7B64-4039-B51B-FF55EEBD0A41}"/>
    <cellStyle name="Normal 4 4 2 3 6 2 3" xfId="12837" xr:uid="{EF4499CF-8ADD-42FD-8958-F139F872F8C7}"/>
    <cellStyle name="Normal 4 4 2 3 6 3" xfId="6410" xr:uid="{00000000-0005-0000-0000-00003A150000}"/>
    <cellStyle name="Normal 4 4 2 3 6 3 2" xfId="14905" xr:uid="{A0279771-F13A-4E27-8406-DDCE52E095B3}"/>
    <cellStyle name="Normal 4 4 2 3 6 4" xfId="10692" xr:uid="{A2077051-6E3F-4C4B-8882-56CE2AFEBF32}"/>
    <cellStyle name="Normal 4 4 2 3 7" xfId="2540" xr:uid="{00000000-0005-0000-0000-00003B150000}"/>
    <cellStyle name="Normal 4 4 2 3 7 2" xfId="6823" xr:uid="{00000000-0005-0000-0000-00003C150000}"/>
    <cellStyle name="Normal 4 4 2 3 7 2 2" xfId="15318" xr:uid="{71C09846-B58A-4C11-8055-C68392A133C0}"/>
    <cellStyle name="Normal 4 4 2 3 7 3" xfId="11105" xr:uid="{468F8874-5837-4773-9E33-34D6EC51A09C}"/>
    <cellStyle name="Normal 4 4 2 3 8" xfId="4758" xr:uid="{00000000-0005-0000-0000-00003D150000}"/>
    <cellStyle name="Normal 4 4 2 3 8 2" xfId="13253" xr:uid="{BC7BD2CC-245C-419C-872F-A8B48809E82B}"/>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813" xr:uid="{194992C2-7058-472C-8CBA-89A139DA5944}"/>
    <cellStyle name="Normal 4 4 2 4 2 2 3" xfId="11600" xr:uid="{F83DAC13-0CA3-497D-8600-29E5E06572A0}"/>
    <cellStyle name="Normal 4 4 2 4 2 3" xfId="5173" xr:uid="{00000000-0005-0000-0000-000042150000}"/>
    <cellStyle name="Normal 4 4 2 4 2 3 2" xfId="13668" xr:uid="{FB2008BE-D4A1-4DEA-BC1F-6A8DB11E4551}"/>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226" xr:uid="{A032B1BA-F096-4C91-A054-8C406942ABE9}"/>
    <cellStyle name="Normal 4 4 2 4 3 2 3" xfId="12013" xr:uid="{A10E9AEB-F632-45E8-9CC4-05C010CC284B}"/>
    <cellStyle name="Normal 4 4 2 4 3 3" xfId="5586" xr:uid="{00000000-0005-0000-0000-000046150000}"/>
    <cellStyle name="Normal 4 4 2 4 3 3 2" xfId="14081" xr:uid="{819F7EB2-1F45-4982-BC1E-DD6E5BB0C7F6}"/>
    <cellStyle name="Normal 4 4 2 4 3 4" xfId="9868" xr:uid="{6C588397-16A0-4CAA-B6E6-51DF29828CFC}"/>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639" xr:uid="{2690376F-D299-4E69-82AF-00AB29024913}"/>
    <cellStyle name="Normal 4 4 2 4 4 2 3" xfId="12426" xr:uid="{0B5665F8-593B-4887-9E7F-E1C372D4C49F}"/>
    <cellStyle name="Normal 4 4 2 4 4 3" xfId="5999" xr:uid="{00000000-0005-0000-0000-00004A150000}"/>
    <cellStyle name="Normal 4 4 2 4 4 3 2" xfId="14494" xr:uid="{13A40625-6CAB-4FA9-A481-8D28EC4C33B1}"/>
    <cellStyle name="Normal 4 4 2 4 4 4" xfId="10281" xr:uid="{E5480325-458D-4868-9AE6-ECB7EC8CE5B7}"/>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52" xr:uid="{41B5F465-3C6A-41E8-88EE-6A881F745EF3}"/>
    <cellStyle name="Normal 4 4 2 4 5 2 3" xfId="12839" xr:uid="{2EAEB9FE-BB0C-476A-AE28-F36D4FF5B74D}"/>
    <cellStyle name="Normal 4 4 2 4 5 3" xfId="6412" xr:uid="{00000000-0005-0000-0000-00004E150000}"/>
    <cellStyle name="Normal 4 4 2 4 5 3 2" xfId="14907" xr:uid="{CE9596EA-9EBE-43D9-8375-C52AEF016734}"/>
    <cellStyle name="Normal 4 4 2 4 5 4" xfId="10694" xr:uid="{81FF2E18-146B-493C-9967-A8217E447C92}"/>
    <cellStyle name="Normal 4 4 2 4 6" xfId="2542" xr:uid="{00000000-0005-0000-0000-00004F150000}"/>
    <cellStyle name="Normal 4 4 2 4 6 2" xfId="6825" xr:uid="{00000000-0005-0000-0000-000050150000}"/>
    <cellStyle name="Normal 4 4 2 4 6 2 2" xfId="15320" xr:uid="{FB149AED-D9E4-4704-99F0-1A4995D8CC5D}"/>
    <cellStyle name="Normal 4 4 2 4 6 3" xfId="11107" xr:uid="{B26D8F5A-4DCA-4DD1-B7AC-9A07725442C6}"/>
    <cellStyle name="Normal 4 4 2 4 7" xfId="4760" xr:uid="{00000000-0005-0000-0000-000051150000}"/>
    <cellStyle name="Normal 4 4 2 4 7 2" xfId="13255" xr:uid="{15BA1BB8-E118-4227-B677-B94F37ED6D21}"/>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2 2 2" xfId="15806" xr:uid="{311A8D9A-8257-41C2-8B35-8EF2E4B72780}"/>
    <cellStyle name="Normal 4 4 2 5 2 3" xfId="11593" xr:uid="{D7704AE1-27AB-4572-8B8C-7AAB76853EF6}"/>
    <cellStyle name="Normal 4 4 2 5 3" xfId="5166" xr:uid="{00000000-0005-0000-0000-000055150000}"/>
    <cellStyle name="Normal 4 4 2 5 3 2" xfId="13661" xr:uid="{1FC98B0D-61D3-4F27-8675-A8BC08DD2D37}"/>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2 2 2" xfId="16219" xr:uid="{F211256C-7C7E-4864-B476-2A288FF261CF}"/>
    <cellStyle name="Normal 4 4 2 6 2 3" xfId="12006" xr:uid="{E8C1C6EF-31F4-41AC-BA4F-C1CA4763296C}"/>
    <cellStyle name="Normal 4 4 2 6 3" xfId="5579" xr:uid="{00000000-0005-0000-0000-000059150000}"/>
    <cellStyle name="Normal 4 4 2 6 3 2" xfId="14074" xr:uid="{4A8C45FB-ACF5-4405-BCE3-38C3DFB09D23}"/>
    <cellStyle name="Normal 4 4 2 6 4" xfId="9861" xr:uid="{D68CCBDE-D9FE-4CAD-A4AB-1C75C362E6EE}"/>
    <cellStyle name="Normal 4 4 2 7" xfId="1685" xr:uid="{00000000-0005-0000-0000-00005A150000}"/>
    <cellStyle name="Normal 4 4 2 7 2" xfId="3915" xr:uid="{00000000-0005-0000-0000-00005B150000}"/>
    <cellStyle name="Normal 4 4 2 7 2 2" xfId="8137" xr:uid="{00000000-0005-0000-0000-00005C150000}"/>
    <cellStyle name="Normal 4 4 2 7 2 2 2" xfId="16632" xr:uid="{7732899A-B0C9-408C-ABB2-6C9990E8EBBE}"/>
    <cellStyle name="Normal 4 4 2 7 2 3" xfId="12419" xr:uid="{57B2BD00-A0F0-4075-B1A4-B3E153E2A71C}"/>
    <cellStyle name="Normal 4 4 2 7 3" xfId="5992" xr:uid="{00000000-0005-0000-0000-00005D150000}"/>
    <cellStyle name="Normal 4 4 2 7 3 2" xfId="14487" xr:uid="{EF05017C-A327-4822-A7C8-4272690D17FD}"/>
    <cellStyle name="Normal 4 4 2 7 4" xfId="10274" xr:uid="{8CC488D7-0E34-44A6-AA56-597434CEC74C}"/>
    <cellStyle name="Normal 4 4 2 8" xfId="2099" xr:uid="{00000000-0005-0000-0000-00005E150000}"/>
    <cellStyle name="Normal 4 4 2 8 2" xfId="4328" xr:uid="{00000000-0005-0000-0000-00005F150000}"/>
    <cellStyle name="Normal 4 4 2 8 2 2" xfId="8550" xr:uid="{00000000-0005-0000-0000-000060150000}"/>
    <cellStyle name="Normal 4 4 2 8 2 2 2" xfId="17045" xr:uid="{2DBFDAAA-926A-4139-92A4-C5373325F809}"/>
    <cellStyle name="Normal 4 4 2 8 2 3" xfId="12832" xr:uid="{8D528566-8BFB-4DC0-839D-4A296E3CDD0F}"/>
    <cellStyle name="Normal 4 4 2 8 3" xfId="6405" xr:uid="{00000000-0005-0000-0000-000061150000}"/>
    <cellStyle name="Normal 4 4 2 8 3 2" xfId="14900" xr:uid="{C4D1674D-89CF-4ADE-B579-79D65A6E32D7}"/>
    <cellStyle name="Normal 4 4 2 8 4" xfId="10687" xr:uid="{DC4DDCF4-6B19-424A-8EF1-6FC68EEB6F0C}"/>
    <cellStyle name="Normal 4 4 2 9" xfId="2535" xr:uid="{00000000-0005-0000-0000-000062150000}"/>
    <cellStyle name="Normal 4 4 2 9 2" xfId="6818" xr:uid="{00000000-0005-0000-0000-000063150000}"/>
    <cellStyle name="Normal 4 4 2 9 2 2" xfId="15313" xr:uid="{82DD14A9-897E-4264-B3C2-C727D27168C9}"/>
    <cellStyle name="Normal 4 4 2 9 3" xfId="11100" xr:uid="{B40DAD6D-25C2-4AB8-8DA1-557CD8C10CD1}"/>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816" xr:uid="{307FBAEE-F562-455E-BB1E-EB9B304ECBD1}"/>
    <cellStyle name="Normal 4 4 3 2 2 2 2 3" xfId="11603" xr:uid="{B9858262-DCFE-4A99-B715-9FFF11893C8F}"/>
    <cellStyle name="Normal 4 4 3 2 2 2 3" xfId="5176" xr:uid="{00000000-0005-0000-0000-00006A150000}"/>
    <cellStyle name="Normal 4 4 3 2 2 2 3 2" xfId="13671" xr:uid="{5B038B72-6C3F-4EE7-BAD2-48FF85DB588B}"/>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229" xr:uid="{3722DC17-E891-4B54-BEA2-8E3712C65923}"/>
    <cellStyle name="Normal 4 4 3 2 2 3 2 3" xfId="12016" xr:uid="{EBF2FFA1-A45D-4745-B6B5-C0B40A71938B}"/>
    <cellStyle name="Normal 4 4 3 2 2 3 3" xfId="5589" xr:uid="{00000000-0005-0000-0000-00006E150000}"/>
    <cellStyle name="Normal 4 4 3 2 2 3 3 2" xfId="14084" xr:uid="{897A6BBC-2CBD-45E1-8C43-29B3CEB0B796}"/>
    <cellStyle name="Normal 4 4 3 2 2 3 4" xfId="9871" xr:uid="{3B95670C-2B45-4626-8ED2-E0F607618612}"/>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642" xr:uid="{9497AF76-C472-44FE-8DFF-FE5D5EEF0FFD}"/>
    <cellStyle name="Normal 4 4 3 2 2 4 2 3" xfId="12429" xr:uid="{A2F67A85-77CC-4002-AAFB-FA79BC7AD6D8}"/>
    <cellStyle name="Normal 4 4 3 2 2 4 3" xfId="6002" xr:uid="{00000000-0005-0000-0000-000072150000}"/>
    <cellStyle name="Normal 4 4 3 2 2 4 3 2" xfId="14497" xr:uid="{B82AC2DA-BD99-472E-9A9D-73A86BD45631}"/>
    <cellStyle name="Normal 4 4 3 2 2 4 4" xfId="10284" xr:uid="{E4A047A4-166B-4C9E-8B96-3E9AA8D85B9A}"/>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55" xr:uid="{717D5AF5-2365-45B9-B29E-4FC45DBE80E2}"/>
    <cellStyle name="Normal 4 4 3 2 2 5 2 3" xfId="12842" xr:uid="{F32C31F0-0A26-4EAF-ACC1-7E2083135A68}"/>
    <cellStyle name="Normal 4 4 3 2 2 5 3" xfId="6415" xr:uid="{00000000-0005-0000-0000-000076150000}"/>
    <cellStyle name="Normal 4 4 3 2 2 5 3 2" xfId="14910" xr:uid="{659257A8-7C0F-44A2-94FE-02DF22E47179}"/>
    <cellStyle name="Normal 4 4 3 2 2 5 4" xfId="10697" xr:uid="{9D93E1E4-542C-4D22-869F-02D9D62D846A}"/>
    <cellStyle name="Normal 4 4 3 2 2 6" xfId="2545" xr:uid="{00000000-0005-0000-0000-000077150000}"/>
    <cellStyle name="Normal 4 4 3 2 2 6 2" xfId="6828" xr:uid="{00000000-0005-0000-0000-000078150000}"/>
    <cellStyle name="Normal 4 4 3 2 2 6 2 2" xfId="15323" xr:uid="{D2503FC3-C46E-44BD-86D8-F7C24A569109}"/>
    <cellStyle name="Normal 4 4 3 2 2 6 3" xfId="11110" xr:uid="{7E8EA689-E8BD-4619-8806-2BBF17876D6E}"/>
    <cellStyle name="Normal 4 4 3 2 2 7" xfId="4763" xr:uid="{00000000-0005-0000-0000-000079150000}"/>
    <cellStyle name="Normal 4 4 3 2 2 7 2" xfId="13258" xr:uid="{E581E8F0-87C2-4733-94FB-A40DF4DFFD4A}"/>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815" xr:uid="{6DD07DD0-48D4-4347-9602-11EFD76CBC3F}"/>
    <cellStyle name="Normal 4 4 3 2 3 2 3" xfId="11602" xr:uid="{39D4776E-1450-445E-B704-4455491D56D3}"/>
    <cellStyle name="Normal 4 4 3 2 3 3" xfId="5175" xr:uid="{00000000-0005-0000-0000-00007D150000}"/>
    <cellStyle name="Normal 4 4 3 2 3 3 2" xfId="13670" xr:uid="{157761FA-8EF5-49D6-B18B-1115F7CF8537}"/>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228" xr:uid="{A05CA6B1-A224-4F6B-8772-8DD21D3E32B1}"/>
    <cellStyle name="Normal 4 4 3 2 4 2 3" xfId="12015" xr:uid="{5321D6FD-8D97-4D7C-AEE5-0F011F3D96D1}"/>
    <cellStyle name="Normal 4 4 3 2 4 3" xfId="5588" xr:uid="{00000000-0005-0000-0000-000081150000}"/>
    <cellStyle name="Normal 4 4 3 2 4 3 2" xfId="14083" xr:uid="{2B281397-7110-45D9-8B73-C5A9EA3ED317}"/>
    <cellStyle name="Normal 4 4 3 2 4 4" xfId="9870" xr:uid="{9AFDFC71-DABB-4E65-A84B-9D2CBCB48251}"/>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641" xr:uid="{825760E2-EBFC-4679-A0E5-8047C524D97E}"/>
    <cellStyle name="Normal 4 4 3 2 5 2 3" xfId="12428" xr:uid="{6EBB3868-01EA-440D-AB10-BA274B98EF5A}"/>
    <cellStyle name="Normal 4 4 3 2 5 3" xfId="6001" xr:uid="{00000000-0005-0000-0000-000085150000}"/>
    <cellStyle name="Normal 4 4 3 2 5 3 2" xfId="14496" xr:uid="{F029E4D2-4DDE-4238-84BB-9DB237BFBA75}"/>
    <cellStyle name="Normal 4 4 3 2 5 4" xfId="10283" xr:uid="{40D433C6-ECC4-4843-9099-65BDC427D604}"/>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54" xr:uid="{0AAB1487-B9BD-4D1D-991F-8DC75929F38D}"/>
    <cellStyle name="Normal 4 4 3 2 6 2 3" xfId="12841" xr:uid="{FF1F8127-06D1-432A-8CA7-C24B4B93B046}"/>
    <cellStyle name="Normal 4 4 3 2 6 3" xfId="6414" xr:uid="{00000000-0005-0000-0000-000089150000}"/>
    <cellStyle name="Normal 4 4 3 2 6 3 2" xfId="14909" xr:uid="{9E74E1A8-6F9E-4966-B550-1B0438B49D8F}"/>
    <cellStyle name="Normal 4 4 3 2 6 4" xfId="10696" xr:uid="{7E279706-A3BF-494A-A8AA-7F0CAA6A5C66}"/>
    <cellStyle name="Normal 4 4 3 2 7" xfId="2544" xr:uid="{00000000-0005-0000-0000-00008A150000}"/>
    <cellStyle name="Normal 4 4 3 2 7 2" xfId="6827" xr:uid="{00000000-0005-0000-0000-00008B150000}"/>
    <cellStyle name="Normal 4 4 3 2 7 2 2" xfId="15322" xr:uid="{F778903F-049C-4DB9-A613-E7F643998EC9}"/>
    <cellStyle name="Normal 4 4 3 2 7 3" xfId="11109" xr:uid="{D7FF3ACC-A499-4255-8F6D-72A499EF5F58}"/>
    <cellStyle name="Normal 4 4 3 2 8" xfId="4762" xr:uid="{00000000-0005-0000-0000-00008C150000}"/>
    <cellStyle name="Normal 4 4 3 2 8 2" xfId="13257" xr:uid="{DA3B41B7-D5A2-4B8C-9B30-4B3FA1E15C89}"/>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817" xr:uid="{F624B8F0-AFE4-40C0-B564-69F7F931F217}"/>
    <cellStyle name="Normal 4 4 3 3 2 2 3" xfId="11604" xr:uid="{8843C9DE-AAC6-4CF9-8BF7-80CE642F774B}"/>
    <cellStyle name="Normal 4 4 3 3 2 3" xfId="5177" xr:uid="{00000000-0005-0000-0000-000091150000}"/>
    <cellStyle name="Normal 4 4 3 3 2 3 2" xfId="13672" xr:uid="{267187DF-6699-42BA-A1A6-876F9FF727A6}"/>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230" xr:uid="{D2DB0C13-9995-4B2A-AD89-8AA5EE7F7760}"/>
    <cellStyle name="Normal 4 4 3 3 3 2 3" xfId="12017" xr:uid="{1CCF605A-F768-422D-8AEC-B5A314D8115B}"/>
    <cellStyle name="Normal 4 4 3 3 3 3" xfId="5590" xr:uid="{00000000-0005-0000-0000-000095150000}"/>
    <cellStyle name="Normal 4 4 3 3 3 3 2" xfId="14085" xr:uid="{76620E77-EE74-4A26-9172-1F9E559714F0}"/>
    <cellStyle name="Normal 4 4 3 3 3 4" xfId="9872" xr:uid="{F1B14526-024C-4CB4-8ED6-FE4A47D5A1EC}"/>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643" xr:uid="{EAD058DB-8936-4B99-A761-C32EBF4D31C7}"/>
    <cellStyle name="Normal 4 4 3 3 4 2 3" xfId="12430" xr:uid="{6AC68507-1780-4636-A0DB-BFA8717BB5A6}"/>
    <cellStyle name="Normal 4 4 3 3 4 3" xfId="6003" xr:uid="{00000000-0005-0000-0000-000099150000}"/>
    <cellStyle name="Normal 4 4 3 3 4 3 2" xfId="14498" xr:uid="{EC951391-59D8-4EA3-8B2A-65EA1DF6D446}"/>
    <cellStyle name="Normal 4 4 3 3 4 4" xfId="10285" xr:uid="{B728F195-B532-46DF-9970-198FA3E82931}"/>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56" xr:uid="{6544AA20-C1D5-4CAE-8ED7-26B9C574E99A}"/>
    <cellStyle name="Normal 4 4 3 3 5 2 3" xfId="12843" xr:uid="{A3778799-89F9-4AA4-B175-4A1E170A4612}"/>
    <cellStyle name="Normal 4 4 3 3 5 3" xfId="6416" xr:uid="{00000000-0005-0000-0000-00009D150000}"/>
    <cellStyle name="Normal 4 4 3 3 5 3 2" xfId="14911" xr:uid="{B8845677-88E6-47A4-A483-A79275A7BF09}"/>
    <cellStyle name="Normal 4 4 3 3 5 4" xfId="10698" xr:uid="{794DA452-495A-4CE5-8C33-73932B60EB35}"/>
    <cellStyle name="Normal 4 4 3 3 6" xfId="2546" xr:uid="{00000000-0005-0000-0000-00009E150000}"/>
    <cellStyle name="Normal 4 4 3 3 6 2" xfId="6829" xr:uid="{00000000-0005-0000-0000-00009F150000}"/>
    <cellStyle name="Normal 4 4 3 3 6 2 2" xfId="15324" xr:uid="{141087DA-42A3-458D-B1D2-152A168EB488}"/>
    <cellStyle name="Normal 4 4 3 3 6 3" xfId="11111" xr:uid="{DA5D4F3A-A43B-4B93-8206-454F84AC883F}"/>
    <cellStyle name="Normal 4 4 3 3 7" xfId="4764" xr:uid="{00000000-0005-0000-0000-0000A0150000}"/>
    <cellStyle name="Normal 4 4 3 3 7 2" xfId="13259" xr:uid="{500EBB15-D775-431F-8A56-DCD450B9CB32}"/>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2 2 2" xfId="15814" xr:uid="{320EB628-A3CD-4AF2-A32D-8EF65ED96897}"/>
    <cellStyle name="Normal 4 4 3 4 2 3" xfId="11601" xr:uid="{FDF3A4D7-970A-442B-BF67-8434EFB407FF}"/>
    <cellStyle name="Normal 4 4 3 4 3" xfId="5174" xr:uid="{00000000-0005-0000-0000-0000A4150000}"/>
    <cellStyle name="Normal 4 4 3 4 3 2" xfId="13669" xr:uid="{784AE21E-AA08-40E1-A5F9-4272DEFBD73D}"/>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2 2 2" xfId="16227" xr:uid="{9016F86A-8D9E-45CD-8ACC-797A678CA142}"/>
    <cellStyle name="Normal 4 4 3 5 2 3" xfId="12014" xr:uid="{5AE7C4E0-3D07-4239-806A-E7988DD44D5F}"/>
    <cellStyle name="Normal 4 4 3 5 3" xfId="5587" xr:uid="{00000000-0005-0000-0000-0000A8150000}"/>
    <cellStyle name="Normal 4 4 3 5 3 2" xfId="14082" xr:uid="{B38D3043-56B9-48A0-9E3B-00A0F1396AC9}"/>
    <cellStyle name="Normal 4 4 3 5 4" xfId="9869" xr:uid="{3EFCE8E5-600B-4A08-A94A-56D19E1025E5}"/>
    <cellStyle name="Normal 4 4 3 6" xfId="1693" xr:uid="{00000000-0005-0000-0000-0000A9150000}"/>
    <cellStyle name="Normal 4 4 3 6 2" xfId="3923" xr:uid="{00000000-0005-0000-0000-0000AA150000}"/>
    <cellStyle name="Normal 4 4 3 6 2 2" xfId="8145" xr:uid="{00000000-0005-0000-0000-0000AB150000}"/>
    <cellStyle name="Normal 4 4 3 6 2 2 2" xfId="16640" xr:uid="{C306D72A-B0AF-42A3-9F32-5A4A834B4F38}"/>
    <cellStyle name="Normal 4 4 3 6 2 3" xfId="12427" xr:uid="{BA73B900-3879-4FE6-ADB3-ECCCE8F5A3DD}"/>
    <cellStyle name="Normal 4 4 3 6 3" xfId="6000" xr:uid="{00000000-0005-0000-0000-0000AC150000}"/>
    <cellStyle name="Normal 4 4 3 6 3 2" xfId="14495" xr:uid="{A71E14BF-6FA6-40E0-8653-FC0695477D0E}"/>
    <cellStyle name="Normal 4 4 3 6 4" xfId="10282" xr:uid="{A355D68C-CD16-4607-A1AD-29E77729BEED}"/>
    <cellStyle name="Normal 4 4 3 7" xfId="2107" xr:uid="{00000000-0005-0000-0000-0000AD150000}"/>
    <cellStyle name="Normal 4 4 3 7 2" xfId="4336" xr:uid="{00000000-0005-0000-0000-0000AE150000}"/>
    <cellStyle name="Normal 4 4 3 7 2 2" xfId="8558" xr:uid="{00000000-0005-0000-0000-0000AF150000}"/>
    <cellStyle name="Normal 4 4 3 7 2 2 2" xfId="17053" xr:uid="{FFF6F5AF-2AA0-4672-BF39-EB417F366524}"/>
    <cellStyle name="Normal 4 4 3 7 2 3" xfId="12840" xr:uid="{0B02ABDE-2AD9-4EB5-A4D8-6E6F6CB18BEF}"/>
    <cellStyle name="Normal 4 4 3 7 3" xfId="6413" xr:uid="{00000000-0005-0000-0000-0000B0150000}"/>
    <cellStyle name="Normal 4 4 3 7 3 2" xfId="14908" xr:uid="{D4236042-178A-4DE9-A71F-10CADFE3C3C3}"/>
    <cellStyle name="Normal 4 4 3 7 4" xfId="10695" xr:uid="{C3BDE12D-81D5-460F-92A5-193323D68C4F}"/>
    <cellStyle name="Normal 4 4 3 8" xfId="2543" xr:uid="{00000000-0005-0000-0000-0000B1150000}"/>
    <cellStyle name="Normal 4 4 3 8 2" xfId="6826" xr:uid="{00000000-0005-0000-0000-0000B2150000}"/>
    <cellStyle name="Normal 4 4 3 8 2 2" xfId="15321" xr:uid="{FB008E57-8973-4E78-8642-7E706861A0D3}"/>
    <cellStyle name="Normal 4 4 3 8 3" xfId="11108" xr:uid="{B6D6585B-E034-4F89-9BAA-7CFADC7CC681}"/>
    <cellStyle name="Normal 4 4 3 9" xfId="4761" xr:uid="{00000000-0005-0000-0000-0000B3150000}"/>
    <cellStyle name="Normal 4 4 3 9 2" xfId="13256" xr:uid="{6CC97C5D-5470-440C-8854-C98D8A91052A}"/>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819" xr:uid="{97045AA0-AE89-449A-BB53-3575BF99136C}"/>
    <cellStyle name="Normal 4 4 4 2 2 2 3" xfId="11606" xr:uid="{454C6FFF-D5C1-4B98-90AE-A074830FE43E}"/>
    <cellStyle name="Normal 4 4 4 2 2 3" xfId="5179" xr:uid="{00000000-0005-0000-0000-0000B9150000}"/>
    <cellStyle name="Normal 4 4 4 2 2 3 2" xfId="13674" xr:uid="{0A60B76D-2D7A-404E-AAB5-A2A8288A4D89}"/>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232" xr:uid="{76B24AA2-4C53-4806-A93D-CE1B35902667}"/>
    <cellStyle name="Normal 4 4 4 2 3 2 3" xfId="12019" xr:uid="{9D78CB36-2D1C-4B6F-A0DA-64615DF245FD}"/>
    <cellStyle name="Normal 4 4 4 2 3 3" xfId="5592" xr:uid="{00000000-0005-0000-0000-0000BD150000}"/>
    <cellStyle name="Normal 4 4 4 2 3 3 2" xfId="14087" xr:uid="{13C37476-6442-4408-9094-20B3BFD4539A}"/>
    <cellStyle name="Normal 4 4 4 2 3 4" xfId="9874" xr:uid="{DD68E8EF-9D42-4C4B-A927-C2711DA95F56}"/>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45" xr:uid="{613819E9-14FB-4DF7-BFCF-3701FC4FCA26}"/>
    <cellStyle name="Normal 4 4 4 2 4 2 3" xfId="12432" xr:uid="{82796B7A-4D54-43AC-9425-C40BDF032808}"/>
    <cellStyle name="Normal 4 4 4 2 4 3" xfId="6005" xr:uid="{00000000-0005-0000-0000-0000C1150000}"/>
    <cellStyle name="Normal 4 4 4 2 4 3 2" xfId="14500" xr:uid="{AE872A12-061E-4FC7-8375-3836648FF62A}"/>
    <cellStyle name="Normal 4 4 4 2 4 4" xfId="10287" xr:uid="{8244D9FA-706E-404B-89FB-CE377647F074}"/>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58" xr:uid="{EB8218A9-9342-459E-9058-2AD50C7ACFF9}"/>
    <cellStyle name="Normal 4 4 4 2 5 2 3" xfId="12845" xr:uid="{2EC06F54-2C0D-459B-9D94-0A01BFE735B0}"/>
    <cellStyle name="Normal 4 4 4 2 5 3" xfId="6418" xr:uid="{00000000-0005-0000-0000-0000C5150000}"/>
    <cellStyle name="Normal 4 4 4 2 5 3 2" xfId="14913" xr:uid="{7CB73134-2069-4BD3-9BAD-4473C7EA8BB7}"/>
    <cellStyle name="Normal 4 4 4 2 5 4" xfId="10700" xr:uid="{DB16A52A-9A60-4896-B11A-D1384C3F1D55}"/>
    <cellStyle name="Normal 4 4 4 2 6" xfId="2548" xr:uid="{00000000-0005-0000-0000-0000C6150000}"/>
    <cellStyle name="Normal 4 4 4 2 6 2" xfId="6831" xr:uid="{00000000-0005-0000-0000-0000C7150000}"/>
    <cellStyle name="Normal 4 4 4 2 6 2 2" xfId="15326" xr:uid="{8915D93B-2C43-43AE-A8A4-5562D6926ECF}"/>
    <cellStyle name="Normal 4 4 4 2 6 3" xfId="11113" xr:uid="{7A47E588-6A1E-4D85-A5CF-F23859550B14}"/>
    <cellStyle name="Normal 4 4 4 2 7" xfId="4766" xr:uid="{00000000-0005-0000-0000-0000C8150000}"/>
    <cellStyle name="Normal 4 4 4 2 7 2" xfId="13261" xr:uid="{205D7D2E-9435-4023-88D3-DA1F8642525E}"/>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2 2 2" xfId="15818" xr:uid="{42B84C68-4A9A-4E17-9473-301F519C38D5}"/>
    <cellStyle name="Normal 4 4 4 3 2 3" xfId="11605" xr:uid="{B31EA4D0-0856-4D79-888F-C954A7D8D317}"/>
    <cellStyle name="Normal 4 4 4 3 3" xfId="5178" xr:uid="{00000000-0005-0000-0000-0000CC150000}"/>
    <cellStyle name="Normal 4 4 4 3 3 2" xfId="13673" xr:uid="{66375ADC-6A2B-4108-8308-8802F618CC6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2 2 2" xfId="16231" xr:uid="{855B88BC-360F-42EB-A878-21E8846A2741}"/>
    <cellStyle name="Normal 4 4 4 4 2 3" xfId="12018" xr:uid="{20C724F4-69A2-4E85-AAFB-607ADAE328D3}"/>
    <cellStyle name="Normal 4 4 4 4 3" xfId="5591" xr:uid="{00000000-0005-0000-0000-0000D0150000}"/>
    <cellStyle name="Normal 4 4 4 4 3 2" xfId="14086" xr:uid="{4D12B0AD-54E2-47E1-8B99-B924E1C29A81}"/>
    <cellStyle name="Normal 4 4 4 4 4" xfId="9873" xr:uid="{6280A2E0-8D89-4D8E-90E6-342496D24F78}"/>
    <cellStyle name="Normal 4 4 4 5" xfId="1697" xr:uid="{00000000-0005-0000-0000-0000D1150000}"/>
    <cellStyle name="Normal 4 4 4 5 2" xfId="3927" xr:uid="{00000000-0005-0000-0000-0000D2150000}"/>
    <cellStyle name="Normal 4 4 4 5 2 2" xfId="8149" xr:uid="{00000000-0005-0000-0000-0000D3150000}"/>
    <cellStyle name="Normal 4 4 4 5 2 2 2" xfId="16644" xr:uid="{B0EA6CBA-E941-4A13-A62E-C9CEFB744B9F}"/>
    <cellStyle name="Normal 4 4 4 5 2 3" xfId="12431" xr:uid="{CC8AD4C7-FE6E-4C3D-9471-44BF3A175CD3}"/>
    <cellStyle name="Normal 4 4 4 5 3" xfId="6004" xr:uid="{00000000-0005-0000-0000-0000D4150000}"/>
    <cellStyle name="Normal 4 4 4 5 3 2" xfId="14499" xr:uid="{0AF44DD2-2E60-4D95-8F48-196B1EDA69FE}"/>
    <cellStyle name="Normal 4 4 4 5 4" xfId="10286" xr:uid="{888019D1-B216-4547-8B8B-60244C8044EE}"/>
    <cellStyle name="Normal 4 4 4 6" xfId="2111" xr:uid="{00000000-0005-0000-0000-0000D5150000}"/>
    <cellStyle name="Normal 4 4 4 6 2" xfId="4340" xr:uid="{00000000-0005-0000-0000-0000D6150000}"/>
    <cellStyle name="Normal 4 4 4 6 2 2" xfId="8562" xr:uid="{00000000-0005-0000-0000-0000D7150000}"/>
    <cellStyle name="Normal 4 4 4 6 2 2 2" xfId="17057" xr:uid="{68254845-D59B-4F8A-BCDF-AD928F829ED6}"/>
    <cellStyle name="Normal 4 4 4 6 2 3" xfId="12844" xr:uid="{468CA3CD-80FD-4E34-8F50-E40D87E89B3E}"/>
    <cellStyle name="Normal 4 4 4 6 3" xfId="6417" xr:uid="{00000000-0005-0000-0000-0000D8150000}"/>
    <cellStyle name="Normal 4 4 4 6 3 2" xfId="14912" xr:uid="{9B5161D6-68A5-4F60-BFCA-02DE446413A2}"/>
    <cellStyle name="Normal 4 4 4 6 4" xfId="10699" xr:uid="{FE1FA6A1-8187-4562-A752-11931B1F5D5F}"/>
    <cellStyle name="Normal 4 4 4 7" xfId="2547" xr:uid="{00000000-0005-0000-0000-0000D9150000}"/>
    <cellStyle name="Normal 4 4 4 7 2" xfId="6830" xr:uid="{00000000-0005-0000-0000-0000DA150000}"/>
    <cellStyle name="Normal 4 4 4 7 2 2" xfId="15325" xr:uid="{EB373E1A-576B-40CB-8A0A-1E006B9D3172}"/>
    <cellStyle name="Normal 4 4 4 7 3" xfId="11112" xr:uid="{B675512F-9389-46E0-80FD-38BED67B3D0E}"/>
    <cellStyle name="Normal 4 4 4 8" xfId="4765" xr:uid="{00000000-0005-0000-0000-0000DB150000}"/>
    <cellStyle name="Normal 4 4 4 8 2" xfId="13260" xr:uid="{8D4A7254-A292-4769-8AAE-3017C8F44836}"/>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820" xr:uid="{475EC4E0-4F1B-49B6-9F46-9848DAF2B81C}"/>
    <cellStyle name="Normal 4 4 5 2 2 3" xfId="11607" xr:uid="{F31E1648-3E31-48A6-9376-C17A18240BAA}"/>
    <cellStyle name="Normal 4 4 5 2 3" xfId="5180" xr:uid="{00000000-0005-0000-0000-0000E0150000}"/>
    <cellStyle name="Normal 4 4 5 2 3 2" xfId="13675" xr:uid="{72892DC0-A65F-42CC-9A88-ADA831D67998}"/>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2 2 2" xfId="16233" xr:uid="{45A51F75-BABB-41BA-A1A9-889689C44B22}"/>
    <cellStyle name="Normal 4 4 5 3 2 3" xfId="12020" xr:uid="{FCF89702-513B-468D-ABC2-C85C2DC54369}"/>
    <cellStyle name="Normal 4 4 5 3 3" xfId="5593" xr:uid="{00000000-0005-0000-0000-0000E4150000}"/>
    <cellStyle name="Normal 4 4 5 3 3 2" xfId="14088" xr:uid="{67B47DEB-E444-4909-9E02-5F639255C2C8}"/>
    <cellStyle name="Normal 4 4 5 3 4" xfId="9875" xr:uid="{9B245067-BD35-4053-8DE0-12085843F11B}"/>
    <cellStyle name="Normal 4 4 5 4" xfId="1699" xr:uid="{00000000-0005-0000-0000-0000E5150000}"/>
    <cellStyle name="Normal 4 4 5 4 2" xfId="3929" xr:uid="{00000000-0005-0000-0000-0000E6150000}"/>
    <cellStyle name="Normal 4 4 5 4 2 2" xfId="8151" xr:uid="{00000000-0005-0000-0000-0000E7150000}"/>
    <cellStyle name="Normal 4 4 5 4 2 2 2" xfId="16646" xr:uid="{A20BEFA5-4E32-48D9-BEAF-A2738A4010D7}"/>
    <cellStyle name="Normal 4 4 5 4 2 3" xfId="12433" xr:uid="{FCA8599F-1330-48BD-A18B-534278B6D71B}"/>
    <cellStyle name="Normal 4 4 5 4 3" xfId="6006" xr:uid="{00000000-0005-0000-0000-0000E8150000}"/>
    <cellStyle name="Normal 4 4 5 4 3 2" xfId="14501" xr:uid="{94D18A74-D3EC-47F7-AC3B-5CA084ED6FBE}"/>
    <cellStyle name="Normal 4 4 5 4 4" xfId="10288" xr:uid="{317F92C4-E372-4318-AF77-56DE1EED822E}"/>
    <cellStyle name="Normal 4 4 5 5" xfId="2113" xr:uid="{00000000-0005-0000-0000-0000E9150000}"/>
    <cellStyle name="Normal 4 4 5 5 2" xfId="4342" xr:uid="{00000000-0005-0000-0000-0000EA150000}"/>
    <cellStyle name="Normal 4 4 5 5 2 2" xfId="8564" xr:uid="{00000000-0005-0000-0000-0000EB150000}"/>
    <cellStyle name="Normal 4 4 5 5 2 2 2" xfId="17059" xr:uid="{BD56B743-6F3F-40F7-AA35-41D90A595CD0}"/>
    <cellStyle name="Normal 4 4 5 5 2 3" xfId="12846" xr:uid="{46E3AB8C-0EF9-4896-881E-341553050319}"/>
    <cellStyle name="Normal 4 4 5 5 3" xfId="6419" xr:uid="{00000000-0005-0000-0000-0000EC150000}"/>
    <cellStyle name="Normal 4 4 5 5 3 2" xfId="14914" xr:uid="{A6BDB687-EF39-4179-AA64-4F35071A88A4}"/>
    <cellStyle name="Normal 4 4 5 5 4" xfId="10701" xr:uid="{3B1873F1-0935-4B1E-A52F-49A02E797C44}"/>
    <cellStyle name="Normal 4 4 5 6" xfId="2549" xr:uid="{00000000-0005-0000-0000-0000ED150000}"/>
    <cellStyle name="Normal 4 4 5 6 2" xfId="6832" xr:uid="{00000000-0005-0000-0000-0000EE150000}"/>
    <cellStyle name="Normal 4 4 5 6 2 2" xfId="15327" xr:uid="{07348B8F-23C2-4E37-9742-6E89D40A704E}"/>
    <cellStyle name="Normal 4 4 5 6 3" xfId="11114" xr:uid="{96EBCAFE-E218-4292-B0BA-A0F5D2A0D977}"/>
    <cellStyle name="Normal 4 4 5 7" xfId="4767" xr:uid="{00000000-0005-0000-0000-0000EF150000}"/>
    <cellStyle name="Normal 4 4 5 7 2" xfId="13262" xr:uid="{14429C29-CA81-4A8F-90EC-33089E66F9BE}"/>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2 2 2" xfId="15805" xr:uid="{DF4DF943-55B2-489C-8B52-B4B56EE59873}"/>
    <cellStyle name="Normal 4 4 6 2 3" xfId="11592" xr:uid="{23F91819-A586-4EB0-9173-50DA8DB64F1C}"/>
    <cellStyle name="Normal 4 4 6 3" xfId="5165" xr:uid="{00000000-0005-0000-0000-0000F3150000}"/>
    <cellStyle name="Normal 4 4 6 3 2" xfId="13660" xr:uid="{7DD4F9C8-62F8-427B-8DBB-5AF73651FC46}"/>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2 2 2" xfId="16218" xr:uid="{A48D067B-5DF5-4668-91BC-9FAED5E20C73}"/>
    <cellStyle name="Normal 4 4 7 2 3" xfId="12005" xr:uid="{0F1C443A-14CC-4C33-9D58-51A2C07B7425}"/>
    <cellStyle name="Normal 4 4 7 3" xfId="5578" xr:uid="{00000000-0005-0000-0000-0000F7150000}"/>
    <cellStyle name="Normal 4 4 7 3 2" xfId="14073" xr:uid="{F2D9ABA2-98F8-40CF-B954-C4DE1B63B1CB}"/>
    <cellStyle name="Normal 4 4 7 4" xfId="9860" xr:uid="{9D7E2686-486D-4C1C-9121-5A960840215D}"/>
    <cellStyle name="Normal 4 4 8" xfId="1684" xr:uid="{00000000-0005-0000-0000-0000F8150000}"/>
    <cellStyle name="Normal 4 4 8 2" xfId="3914" xr:uid="{00000000-0005-0000-0000-0000F9150000}"/>
    <cellStyle name="Normal 4 4 8 2 2" xfId="8136" xr:uid="{00000000-0005-0000-0000-0000FA150000}"/>
    <cellStyle name="Normal 4 4 8 2 2 2" xfId="16631" xr:uid="{FED1A837-81B1-45BF-B3BA-5DF47693A0FE}"/>
    <cellStyle name="Normal 4 4 8 2 3" xfId="12418" xr:uid="{1100CB15-C5F5-417B-AAA2-557757CFDC4E}"/>
    <cellStyle name="Normal 4 4 8 3" xfId="5991" xr:uid="{00000000-0005-0000-0000-0000FB150000}"/>
    <cellStyle name="Normal 4 4 8 3 2" xfId="14486" xr:uid="{EE6F959D-BC34-48F0-ABB3-633AD481A43D}"/>
    <cellStyle name="Normal 4 4 8 4" xfId="10273" xr:uid="{2EA09E1A-71D4-442B-BCE2-92FEC93D29AC}"/>
    <cellStyle name="Normal 4 4 9" xfId="2098" xr:uid="{00000000-0005-0000-0000-0000FC150000}"/>
    <cellStyle name="Normal 4 4 9 2" xfId="4327" xr:uid="{00000000-0005-0000-0000-0000FD150000}"/>
    <cellStyle name="Normal 4 4 9 2 2" xfId="8549" xr:uid="{00000000-0005-0000-0000-0000FE150000}"/>
    <cellStyle name="Normal 4 4 9 2 2 2" xfId="17044" xr:uid="{8B136481-3100-4C2B-98A9-3EAB980787C1}"/>
    <cellStyle name="Normal 4 4 9 2 3" xfId="12831" xr:uid="{E26A5D22-836E-4F27-A9E0-CBA2EA757966}"/>
    <cellStyle name="Normal 4 4 9 3" xfId="6404" xr:uid="{00000000-0005-0000-0000-0000FF150000}"/>
    <cellStyle name="Normal 4 4 9 3 2" xfId="14899" xr:uid="{69771D14-F11C-4D36-B8DA-401C58EF3DB8}"/>
    <cellStyle name="Normal 4 4 9 4" xfId="10686" xr:uid="{BF38E99C-6D43-48F6-B8CD-8F51B0A896B0}"/>
    <cellStyle name="Normal 4 5" xfId="394" xr:uid="{00000000-0005-0000-0000-000000160000}"/>
    <cellStyle name="Normal 4 6" xfId="395" xr:uid="{00000000-0005-0000-0000-000001160000}"/>
    <cellStyle name="Normal 4 6 10" xfId="4768" xr:uid="{00000000-0005-0000-0000-000002160000}"/>
    <cellStyle name="Normal 4 6 10 2" xfId="13263" xr:uid="{8DAD5349-6921-473E-B6B2-726FAE18226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824" xr:uid="{48960194-1D65-48B5-AFB8-F5FF46C1482A}"/>
    <cellStyle name="Normal 4 6 2 2 2 2 2 3" xfId="11611" xr:uid="{A14975F5-1A4E-4E68-84BA-8DB4BD07B253}"/>
    <cellStyle name="Normal 4 6 2 2 2 2 3" xfId="5184" xr:uid="{00000000-0005-0000-0000-000009160000}"/>
    <cellStyle name="Normal 4 6 2 2 2 2 3 2" xfId="13679" xr:uid="{EC67F2D7-874C-4576-950E-462CE16733C3}"/>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237" xr:uid="{100524BA-FF77-41ED-BC11-D4B0157738B1}"/>
    <cellStyle name="Normal 4 6 2 2 2 3 2 3" xfId="12024" xr:uid="{03F67023-624F-400C-9320-6C140D44487B}"/>
    <cellStyle name="Normal 4 6 2 2 2 3 3" xfId="5597" xr:uid="{00000000-0005-0000-0000-00000D160000}"/>
    <cellStyle name="Normal 4 6 2 2 2 3 3 2" xfId="14092" xr:uid="{BD94DD80-A258-47C4-8850-8CD00900FA2F}"/>
    <cellStyle name="Normal 4 6 2 2 2 3 4" xfId="9879" xr:uid="{1F792D5D-8EBC-4ACE-933B-0FEB042ED3D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50" xr:uid="{D30B9B2D-5C7D-4514-9819-FDB3C8F241B5}"/>
    <cellStyle name="Normal 4 6 2 2 2 4 2 3" xfId="12437" xr:uid="{AC4C7270-2A31-404D-ADF4-6B9DD5096B75}"/>
    <cellStyle name="Normal 4 6 2 2 2 4 3" xfId="6010" xr:uid="{00000000-0005-0000-0000-000011160000}"/>
    <cellStyle name="Normal 4 6 2 2 2 4 3 2" xfId="14505" xr:uid="{A3CB0FA0-0AA1-424B-83A4-69E9589A892C}"/>
    <cellStyle name="Normal 4 6 2 2 2 4 4" xfId="10292" xr:uid="{AB61E85C-57ED-4BA9-9E8D-FF78AED02136}"/>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63" xr:uid="{7F0B7A94-72C6-423B-A99F-9FF05643AFB7}"/>
    <cellStyle name="Normal 4 6 2 2 2 5 2 3" xfId="12850" xr:uid="{843D1706-D872-4BA0-9771-7A42D5AB5101}"/>
    <cellStyle name="Normal 4 6 2 2 2 5 3" xfId="6423" xr:uid="{00000000-0005-0000-0000-000015160000}"/>
    <cellStyle name="Normal 4 6 2 2 2 5 3 2" xfId="14918" xr:uid="{7C0BCE01-355E-44F0-A48B-95051312E1B9}"/>
    <cellStyle name="Normal 4 6 2 2 2 5 4" xfId="10705" xr:uid="{EEA0B3F5-B776-45F5-8A99-8CC5729AEB77}"/>
    <cellStyle name="Normal 4 6 2 2 2 6" xfId="2553" xr:uid="{00000000-0005-0000-0000-000016160000}"/>
    <cellStyle name="Normal 4 6 2 2 2 6 2" xfId="6836" xr:uid="{00000000-0005-0000-0000-000017160000}"/>
    <cellStyle name="Normal 4 6 2 2 2 6 2 2" xfId="15331" xr:uid="{29558D80-65CB-4F5F-890F-59D47683677B}"/>
    <cellStyle name="Normal 4 6 2 2 2 6 3" xfId="11118" xr:uid="{4C368569-3C76-4C59-BF16-D02B9EE92304}"/>
    <cellStyle name="Normal 4 6 2 2 2 7" xfId="4771" xr:uid="{00000000-0005-0000-0000-000018160000}"/>
    <cellStyle name="Normal 4 6 2 2 2 7 2" xfId="13266" xr:uid="{E12CE935-23D0-4146-A349-613B2634295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823" xr:uid="{703F3D7D-07D3-4FBC-9F67-E93CBA3303F9}"/>
    <cellStyle name="Normal 4 6 2 2 3 2 3" xfId="11610" xr:uid="{EE086BEE-C192-4AE1-B740-0D6DAA1343A3}"/>
    <cellStyle name="Normal 4 6 2 2 3 3" xfId="5183" xr:uid="{00000000-0005-0000-0000-00001C160000}"/>
    <cellStyle name="Normal 4 6 2 2 3 3 2" xfId="13678" xr:uid="{F30C3F35-3C9F-4B16-9965-27F879C39ACA}"/>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236" xr:uid="{2BFD0CEB-3211-48F4-B08D-5EBC748B7622}"/>
    <cellStyle name="Normal 4 6 2 2 4 2 3" xfId="12023" xr:uid="{65673E20-17EB-4210-91AA-7C713A8F5ECA}"/>
    <cellStyle name="Normal 4 6 2 2 4 3" xfId="5596" xr:uid="{00000000-0005-0000-0000-000020160000}"/>
    <cellStyle name="Normal 4 6 2 2 4 3 2" xfId="14091" xr:uid="{33F207B1-C307-4C31-A356-13422EDA7DB0}"/>
    <cellStyle name="Normal 4 6 2 2 4 4" xfId="9878" xr:uid="{E5E51A55-953A-4E5E-9DFA-A03A5807F4B3}"/>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49" xr:uid="{DE9449A1-8C72-4AB4-BF48-887315688754}"/>
    <cellStyle name="Normal 4 6 2 2 5 2 3" xfId="12436" xr:uid="{A6708DBB-FAE6-4F4E-99DD-9C84DFA3E368}"/>
    <cellStyle name="Normal 4 6 2 2 5 3" xfId="6009" xr:uid="{00000000-0005-0000-0000-000024160000}"/>
    <cellStyle name="Normal 4 6 2 2 5 3 2" xfId="14504" xr:uid="{CFDCC130-F5F7-404F-8A3C-E0FB58D07CF8}"/>
    <cellStyle name="Normal 4 6 2 2 5 4" xfId="10291" xr:uid="{31F07B85-8604-46D1-AC44-BC5D1FBB4BAE}"/>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62" xr:uid="{5E6B97D2-3809-4551-B669-A6118D2D345A}"/>
    <cellStyle name="Normal 4 6 2 2 6 2 3" xfId="12849" xr:uid="{2F529642-4F90-4AEF-AAC3-A319A300F398}"/>
    <cellStyle name="Normal 4 6 2 2 6 3" xfId="6422" xr:uid="{00000000-0005-0000-0000-000028160000}"/>
    <cellStyle name="Normal 4 6 2 2 6 3 2" xfId="14917" xr:uid="{D4C093DC-4FE9-44AE-A927-5849F6336BAB}"/>
    <cellStyle name="Normal 4 6 2 2 6 4" xfId="10704" xr:uid="{D406619D-1A26-408C-9192-470DE2F68818}"/>
    <cellStyle name="Normal 4 6 2 2 7" xfId="2552" xr:uid="{00000000-0005-0000-0000-000029160000}"/>
    <cellStyle name="Normal 4 6 2 2 7 2" xfId="6835" xr:uid="{00000000-0005-0000-0000-00002A160000}"/>
    <cellStyle name="Normal 4 6 2 2 7 2 2" xfId="15330" xr:uid="{487F69B5-95D6-49F7-8A27-352B8DE46DD4}"/>
    <cellStyle name="Normal 4 6 2 2 7 3" xfId="11117" xr:uid="{E65A7EAC-5EDB-41A9-A668-7AEAE13E24EA}"/>
    <cellStyle name="Normal 4 6 2 2 8" xfId="4770" xr:uid="{00000000-0005-0000-0000-00002B160000}"/>
    <cellStyle name="Normal 4 6 2 2 8 2" xfId="13265" xr:uid="{604D8AE3-410F-4FBF-B596-A58360BFE408}"/>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825" xr:uid="{0693D724-B09A-4BDE-896E-0F6F13CD7027}"/>
    <cellStyle name="Normal 4 6 2 3 2 2 3" xfId="11612" xr:uid="{F6BCFB59-D7F3-4425-94E6-86B956A91BE3}"/>
    <cellStyle name="Normal 4 6 2 3 2 3" xfId="5185" xr:uid="{00000000-0005-0000-0000-000030160000}"/>
    <cellStyle name="Normal 4 6 2 3 2 3 2" xfId="13680" xr:uid="{433C8AB2-558F-4EA2-A4BB-CE70B670F7AD}"/>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238" xr:uid="{E8CFFE43-3199-4EC7-830B-4017B78D71BB}"/>
    <cellStyle name="Normal 4 6 2 3 3 2 3" xfId="12025" xr:uid="{9982F6BA-9E63-45F4-B013-C2A5B9451B31}"/>
    <cellStyle name="Normal 4 6 2 3 3 3" xfId="5598" xr:uid="{00000000-0005-0000-0000-000034160000}"/>
    <cellStyle name="Normal 4 6 2 3 3 3 2" xfId="14093" xr:uid="{9798166A-4AAA-4D34-B9C5-77ECEE53EE1C}"/>
    <cellStyle name="Normal 4 6 2 3 3 4" xfId="9880" xr:uid="{555C301A-DC06-41F7-AFF6-52E97818CDBF}"/>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51" xr:uid="{51C8CC55-60FC-48E1-943C-25781CF4D2AA}"/>
    <cellStyle name="Normal 4 6 2 3 4 2 3" xfId="12438" xr:uid="{BEA6A33F-67DF-42E3-90AE-FB4A1D938851}"/>
    <cellStyle name="Normal 4 6 2 3 4 3" xfId="6011" xr:uid="{00000000-0005-0000-0000-000038160000}"/>
    <cellStyle name="Normal 4 6 2 3 4 3 2" xfId="14506" xr:uid="{7224A6EE-F950-416F-8962-DF900B072919}"/>
    <cellStyle name="Normal 4 6 2 3 4 4" xfId="10293" xr:uid="{0BF18967-8031-4CFA-B4B2-3F3037CF6FDA}"/>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64" xr:uid="{D421306B-8655-457E-AA00-5DAD58C22F7F}"/>
    <cellStyle name="Normal 4 6 2 3 5 2 3" xfId="12851" xr:uid="{9B765083-4E4D-49CD-84BC-4473A8667ADD}"/>
    <cellStyle name="Normal 4 6 2 3 5 3" xfId="6424" xr:uid="{00000000-0005-0000-0000-00003C160000}"/>
    <cellStyle name="Normal 4 6 2 3 5 3 2" xfId="14919" xr:uid="{1E10350A-DDFC-4AE1-B73B-D8DBD11D2927}"/>
    <cellStyle name="Normal 4 6 2 3 5 4" xfId="10706" xr:uid="{AA9D9918-7326-43FE-BFB9-B9CB97A1EC2C}"/>
    <cellStyle name="Normal 4 6 2 3 6" xfId="2554" xr:uid="{00000000-0005-0000-0000-00003D160000}"/>
    <cellStyle name="Normal 4 6 2 3 6 2" xfId="6837" xr:uid="{00000000-0005-0000-0000-00003E160000}"/>
    <cellStyle name="Normal 4 6 2 3 6 2 2" xfId="15332" xr:uid="{70261413-2AA1-45A1-9E22-D2E1B7235394}"/>
    <cellStyle name="Normal 4 6 2 3 6 3" xfId="11119" xr:uid="{E88CB64D-14A8-4F52-8C2F-83576B0E9B43}"/>
    <cellStyle name="Normal 4 6 2 3 7" xfId="4772" xr:uid="{00000000-0005-0000-0000-00003F160000}"/>
    <cellStyle name="Normal 4 6 2 3 7 2" xfId="13267" xr:uid="{B71AB53D-6B4D-4C4B-B91B-AD569B34491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2 2 2" xfId="15822" xr:uid="{A7252971-103A-4665-AC17-67FD9F675220}"/>
    <cellStyle name="Normal 4 6 2 4 2 3" xfId="11609" xr:uid="{83306EAA-2ED5-4F34-8E15-45DC36A00ECC}"/>
    <cellStyle name="Normal 4 6 2 4 3" xfId="5182" xr:uid="{00000000-0005-0000-0000-000043160000}"/>
    <cellStyle name="Normal 4 6 2 4 3 2" xfId="13677" xr:uid="{5BA497B9-6B41-4264-A91C-87C7BA455101}"/>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2 2 2" xfId="16235" xr:uid="{C0DEB5A0-A3D4-4534-AAC8-EBC743E20A25}"/>
    <cellStyle name="Normal 4 6 2 5 2 3" xfId="12022" xr:uid="{26BB0B32-8BE1-4CF3-A35D-0A87B36E92AD}"/>
    <cellStyle name="Normal 4 6 2 5 3" xfId="5595" xr:uid="{00000000-0005-0000-0000-000047160000}"/>
    <cellStyle name="Normal 4 6 2 5 3 2" xfId="14090" xr:uid="{6FA9D01A-CEAE-45F4-BD9C-A6B5625FC083}"/>
    <cellStyle name="Normal 4 6 2 5 4" xfId="9877" xr:uid="{4284288F-252A-4786-AE0B-A6C4A7CD38A9}"/>
    <cellStyle name="Normal 4 6 2 6" xfId="1701" xr:uid="{00000000-0005-0000-0000-000048160000}"/>
    <cellStyle name="Normal 4 6 2 6 2" xfId="3931" xr:uid="{00000000-0005-0000-0000-000049160000}"/>
    <cellStyle name="Normal 4 6 2 6 2 2" xfId="8153" xr:uid="{00000000-0005-0000-0000-00004A160000}"/>
    <cellStyle name="Normal 4 6 2 6 2 2 2" xfId="16648" xr:uid="{4CC58A19-0776-43AC-AB32-47926B054578}"/>
    <cellStyle name="Normal 4 6 2 6 2 3" xfId="12435" xr:uid="{025FE778-380D-4773-8A95-906E930898D9}"/>
    <cellStyle name="Normal 4 6 2 6 3" xfId="6008" xr:uid="{00000000-0005-0000-0000-00004B160000}"/>
    <cellStyle name="Normal 4 6 2 6 3 2" xfId="14503" xr:uid="{FA07384C-CCFB-4221-84A7-81D70A246CE3}"/>
    <cellStyle name="Normal 4 6 2 6 4" xfId="10290" xr:uid="{23316689-3F2E-4620-A686-E4E45BF817CA}"/>
    <cellStyle name="Normal 4 6 2 7" xfId="2115" xr:uid="{00000000-0005-0000-0000-00004C160000}"/>
    <cellStyle name="Normal 4 6 2 7 2" xfId="4344" xr:uid="{00000000-0005-0000-0000-00004D160000}"/>
    <cellStyle name="Normal 4 6 2 7 2 2" xfId="8566" xr:uid="{00000000-0005-0000-0000-00004E160000}"/>
    <cellStyle name="Normal 4 6 2 7 2 2 2" xfId="17061" xr:uid="{62B60C83-C43A-41C3-BD2F-6A1544A2644D}"/>
    <cellStyle name="Normal 4 6 2 7 2 3" xfId="12848" xr:uid="{F9F7C5D8-0EEA-413A-B62A-DF20F351E2DB}"/>
    <cellStyle name="Normal 4 6 2 7 3" xfId="6421" xr:uid="{00000000-0005-0000-0000-00004F160000}"/>
    <cellStyle name="Normal 4 6 2 7 3 2" xfId="14916" xr:uid="{680E9545-BE93-4D94-86B8-FD395ADAC830}"/>
    <cellStyle name="Normal 4 6 2 7 4" xfId="10703" xr:uid="{3627C5AC-56B1-4940-B4AF-6C98482D8681}"/>
    <cellStyle name="Normal 4 6 2 8" xfId="2551" xr:uid="{00000000-0005-0000-0000-000050160000}"/>
    <cellStyle name="Normal 4 6 2 8 2" xfId="6834" xr:uid="{00000000-0005-0000-0000-000051160000}"/>
    <cellStyle name="Normal 4 6 2 8 2 2" xfId="15329" xr:uid="{F82B2B75-A340-4B5E-9BD8-E4A62025BE5E}"/>
    <cellStyle name="Normal 4 6 2 8 3" xfId="11116" xr:uid="{A2C96883-802B-41D6-953E-25583A42CD97}"/>
    <cellStyle name="Normal 4 6 2 9" xfId="4769" xr:uid="{00000000-0005-0000-0000-000052160000}"/>
    <cellStyle name="Normal 4 6 2 9 2" xfId="13264" xr:uid="{F7512680-67EB-4EFA-AC4E-C5169F65D8E4}"/>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827" xr:uid="{B951EA74-9CE9-4ECD-8DEF-4BF9EAC81702}"/>
    <cellStyle name="Normal 4 6 3 2 2 2 3" xfId="11614" xr:uid="{FA02A1A8-8256-4777-9E11-E7C8F04737A1}"/>
    <cellStyle name="Normal 4 6 3 2 2 3" xfId="5187" xr:uid="{00000000-0005-0000-0000-000058160000}"/>
    <cellStyle name="Normal 4 6 3 2 2 3 2" xfId="13682" xr:uid="{5E6F692B-D727-45A3-9A88-30A9BEEE2BC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240" xr:uid="{2B80EBE0-E142-4465-85A2-59EF5DBE1F31}"/>
    <cellStyle name="Normal 4 6 3 2 3 2 3" xfId="12027" xr:uid="{0DD44D72-E972-44B5-8A12-2F05BBBF2B1C}"/>
    <cellStyle name="Normal 4 6 3 2 3 3" xfId="5600" xr:uid="{00000000-0005-0000-0000-00005C160000}"/>
    <cellStyle name="Normal 4 6 3 2 3 3 2" xfId="14095" xr:uid="{AC00BF87-A2F7-452D-9061-74326768617B}"/>
    <cellStyle name="Normal 4 6 3 2 3 4" xfId="9882" xr:uid="{FDEBD1D6-D7ED-4916-A63A-C0C0EC867CC0}"/>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53" xr:uid="{6346C931-52F9-4A9D-A73C-BBF0E5F6D90C}"/>
    <cellStyle name="Normal 4 6 3 2 4 2 3" xfId="12440" xr:uid="{3808C24C-3168-403C-8616-FC53E1651A2D}"/>
    <cellStyle name="Normal 4 6 3 2 4 3" xfId="6013" xr:uid="{00000000-0005-0000-0000-000060160000}"/>
    <cellStyle name="Normal 4 6 3 2 4 3 2" xfId="14508" xr:uid="{B9902E22-AE13-44F9-852E-56BF4C442080}"/>
    <cellStyle name="Normal 4 6 3 2 4 4" xfId="10295" xr:uid="{86FA4C64-4B94-4860-97FF-1F409E8C3D68}"/>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66" xr:uid="{0165D717-FEE5-4AD0-B8E9-79F5A3D54917}"/>
    <cellStyle name="Normal 4 6 3 2 5 2 3" xfId="12853" xr:uid="{812E0D6C-5DD9-4D72-97D8-0B3E3D6FCDB3}"/>
    <cellStyle name="Normal 4 6 3 2 5 3" xfId="6426" xr:uid="{00000000-0005-0000-0000-000064160000}"/>
    <cellStyle name="Normal 4 6 3 2 5 3 2" xfId="14921" xr:uid="{D1E800D4-A65E-4AD9-A48C-293C0C98BA74}"/>
    <cellStyle name="Normal 4 6 3 2 5 4" xfId="10708" xr:uid="{4A4923E3-3604-4DFF-BE8C-B0DB609BBEC9}"/>
    <cellStyle name="Normal 4 6 3 2 6" xfId="2556" xr:uid="{00000000-0005-0000-0000-000065160000}"/>
    <cellStyle name="Normal 4 6 3 2 6 2" xfId="6839" xr:uid="{00000000-0005-0000-0000-000066160000}"/>
    <cellStyle name="Normal 4 6 3 2 6 2 2" xfId="15334" xr:uid="{C64D1D65-8065-47B9-9BDF-8ED2C17DEAF3}"/>
    <cellStyle name="Normal 4 6 3 2 6 3" xfId="11121" xr:uid="{0A6DBC35-F855-4198-B166-46ADF700A7F0}"/>
    <cellStyle name="Normal 4 6 3 2 7" xfId="4774" xr:uid="{00000000-0005-0000-0000-000067160000}"/>
    <cellStyle name="Normal 4 6 3 2 7 2" xfId="13269" xr:uid="{783CF8AF-3B71-4308-9FE7-4436C0B379E2}"/>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2 2 2" xfId="15826" xr:uid="{E388F1A2-D25C-4366-B474-7F7CB13C0B1D}"/>
    <cellStyle name="Normal 4 6 3 3 2 3" xfId="11613" xr:uid="{54455A87-9025-47D1-B699-DC09A14D82C1}"/>
    <cellStyle name="Normal 4 6 3 3 3" xfId="5186" xr:uid="{00000000-0005-0000-0000-00006B160000}"/>
    <cellStyle name="Normal 4 6 3 3 3 2" xfId="13681" xr:uid="{2DB9C587-0415-4A9D-9CF5-688E9C89420B}"/>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2 2 2" xfId="16239" xr:uid="{9D11DD20-9D87-4325-842F-54B9561FBEF4}"/>
    <cellStyle name="Normal 4 6 3 4 2 3" xfId="12026" xr:uid="{F994D69D-ED5C-43E9-8380-54309D06E2A8}"/>
    <cellStyle name="Normal 4 6 3 4 3" xfId="5599" xr:uid="{00000000-0005-0000-0000-00006F160000}"/>
    <cellStyle name="Normal 4 6 3 4 3 2" xfId="14094" xr:uid="{35EC7BC0-9C2E-44D3-85F7-E2B58FFEEDB2}"/>
    <cellStyle name="Normal 4 6 3 4 4" xfId="9881" xr:uid="{34836788-6D78-42D7-A109-D7F7A7D7B8BB}"/>
    <cellStyle name="Normal 4 6 3 5" xfId="1705" xr:uid="{00000000-0005-0000-0000-000070160000}"/>
    <cellStyle name="Normal 4 6 3 5 2" xfId="3935" xr:uid="{00000000-0005-0000-0000-000071160000}"/>
    <cellStyle name="Normal 4 6 3 5 2 2" xfId="8157" xr:uid="{00000000-0005-0000-0000-000072160000}"/>
    <cellStyle name="Normal 4 6 3 5 2 2 2" xfId="16652" xr:uid="{62669EA0-BEF7-4EEE-A1F8-52154B347854}"/>
    <cellStyle name="Normal 4 6 3 5 2 3" xfId="12439" xr:uid="{3C95E287-E8E1-486A-9602-EA0177721CF2}"/>
    <cellStyle name="Normal 4 6 3 5 3" xfId="6012" xr:uid="{00000000-0005-0000-0000-000073160000}"/>
    <cellStyle name="Normal 4 6 3 5 3 2" xfId="14507" xr:uid="{ABEB6D9C-C4CE-426B-9634-1500D89F61DB}"/>
    <cellStyle name="Normal 4 6 3 5 4" xfId="10294" xr:uid="{7B8EBE03-28A4-4F03-A0D9-39BB3560CE49}"/>
    <cellStyle name="Normal 4 6 3 6" xfId="2119" xr:uid="{00000000-0005-0000-0000-000074160000}"/>
    <cellStyle name="Normal 4 6 3 6 2" xfId="4348" xr:uid="{00000000-0005-0000-0000-000075160000}"/>
    <cellStyle name="Normal 4 6 3 6 2 2" xfId="8570" xr:uid="{00000000-0005-0000-0000-000076160000}"/>
    <cellStyle name="Normal 4 6 3 6 2 2 2" xfId="17065" xr:uid="{D280BF7A-8C95-4319-A7FE-D02AABA35111}"/>
    <cellStyle name="Normal 4 6 3 6 2 3" xfId="12852" xr:uid="{CD41BBA7-D5A3-4FFA-89AD-AF80FA1E724A}"/>
    <cellStyle name="Normal 4 6 3 6 3" xfId="6425" xr:uid="{00000000-0005-0000-0000-000077160000}"/>
    <cellStyle name="Normal 4 6 3 6 3 2" xfId="14920" xr:uid="{4E14B522-717B-40E1-BBE3-939812168CF1}"/>
    <cellStyle name="Normal 4 6 3 6 4" xfId="10707" xr:uid="{657A98D7-8443-41B3-B8EC-C77DD878D87F}"/>
    <cellStyle name="Normal 4 6 3 7" xfId="2555" xr:uid="{00000000-0005-0000-0000-000078160000}"/>
    <cellStyle name="Normal 4 6 3 7 2" xfId="6838" xr:uid="{00000000-0005-0000-0000-000079160000}"/>
    <cellStyle name="Normal 4 6 3 7 2 2" xfId="15333" xr:uid="{AA78C45B-DA47-41A9-827E-55B3AC7C6957}"/>
    <cellStyle name="Normal 4 6 3 7 3" xfId="11120" xr:uid="{E2E4A655-E9F4-4F50-9AE1-D97A7C9B05CD}"/>
    <cellStyle name="Normal 4 6 3 8" xfId="4773" xr:uid="{00000000-0005-0000-0000-00007A160000}"/>
    <cellStyle name="Normal 4 6 3 8 2" xfId="13268" xr:uid="{71B8C2A3-026B-44B7-A01D-D16F55BEF7CA}"/>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828" xr:uid="{7D5BAB82-95BB-4450-9AE0-0FED30072C02}"/>
    <cellStyle name="Normal 4 6 4 2 2 3" xfId="11615" xr:uid="{38AC465D-0029-4597-8244-89DDB7D37D43}"/>
    <cellStyle name="Normal 4 6 4 2 3" xfId="5188" xr:uid="{00000000-0005-0000-0000-00007F160000}"/>
    <cellStyle name="Normal 4 6 4 2 3 2" xfId="13683" xr:uid="{CEAD0DCA-8999-4EFA-AA42-BFDE432EB119}"/>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2 2 2" xfId="16241" xr:uid="{071CC3AE-C2DD-4459-BAA3-BEC5DA2D389C}"/>
    <cellStyle name="Normal 4 6 4 3 2 3" xfId="12028" xr:uid="{9EE0C14F-1973-491F-BCB0-E486CEE0DEEE}"/>
    <cellStyle name="Normal 4 6 4 3 3" xfId="5601" xr:uid="{00000000-0005-0000-0000-000083160000}"/>
    <cellStyle name="Normal 4 6 4 3 3 2" xfId="14096" xr:uid="{FE7EAD6F-52B1-4CC6-A870-4A26400E0A75}"/>
    <cellStyle name="Normal 4 6 4 3 4" xfId="9883" xr:uid="{9FACFFB0-733A-44D5-8B1D-3F2137BFC2D0}"/>
    <cellStyle name="Normal 4 6 4 4" xfId="1707" xr:uid="{00000000-0005-0000-0000-000084160000}"/>
    <cellStyle name="Normal 4 6 4 4 2" xfId="3937" xr:uid="{00000000-0005-0000-0000-000085160000}"/>
    <cellStyle name="Normal 4 6 4 4 2 2" xfId="8159" xr:uid="{00000000-0005-0000-0000-000086160000}"/>
    <cellStyle name="Normal 4 6 4 4 2 2 2" xfId="16654" xr:uid="{4E1C466B-ECAB-4B02-B469-0160AB0EEEA9}"/>
    <cellStyle name="Normal 4 6 4 4 2 3" xfId="12441" xr:uid="{D0B2FE16-2A01-4055-806C-B185221BC3AE}"/>
    <cellStyle name="Normal 4 6 4 4 3" xfId="6014" xr:uid="{00000000-0005-0000-0000-000087160000}"/>
    <cellStyle name="Normal 4 6 4 4 3 2" xfId="14509" xr:uid="{BBA81F7C-B9E7-4DD7-A27A-F9AC7440B3C1}"/>
    <cellStyle name="Normal 4 6 4 4 4" xfId="10296" xr:uid="{9E30E084-1EF5-4F4F-B246-167314E2B558}"/>
    <cellStyle name="Normal 4 6 4 5" xfId="2121" xr:uid="{00000000-0005-0000-0000-000088160000}"/>
    <cellStyle name="Normal 4 6 4 5 2" xfId="4350" xr:uid="{00000000-0005-0000-0000-000089160000}"/>
    <cellStyle name="Normal 4 6 4 5 2 2" xfId="8572" xr:uid="{00000000-0005-0000-0000-00008A160000}"/>
    <cellStyle name="Normal 4 6 4 5 2 2 2" xfId="17067" xr:uid="{82BB2F34-C70F-4B22-AE15-44A0F153D292}"/>
    <cellStyle name="Normal 4 6 4 5 2 3" xfId="12854" xr:uid="{1DC448FA-7A98-4B29-9CDE-060166E53B43}"/>
    <cellStyle name="Normal 4 6 4 5 3" xfId="6427" xr:uid="{00000000-0005-0000-0000-00008B160000}"/>
    <cellStyle name="Normal 4 6 4 5 3 2" xfId="14922" xr:uid="{5A298A13-93B6-4F15-BB31-C69B8878D882}"/>
    <cellStyle name="Normal 4 6 4 5 4" xfId="10709" xr:uid="{CAF1BF07-0226-4973-941B-F74FD8533C7B}"/>
    <cellStyle name="Normal 4 6 4 6" xfId="2557" xr:uid="{00000000-0005-0000-0000-00008C160000}"/>
    <cellStyle name="Normal 4 6 4 6 2" xfId="6840" xr:uid="{00000000-0005-0000-0000-00008D160000}"/>
    <cellStyle name="Normal 4 6 4 6 2 2" xfId="15335" xr:uid="{D7F66788-6DF3-470D-9D20-BE4CE3A6CE99}"/>
    <cellStyle name="Normal 4 6 4 6 3" xfId="11122" xr:uid="{BA0B0FC4-BC9F-4A25-9683-7CE538A8694D}"/>
    <cellStyle name="Normal 4 6 4 7" xfId="4775" xr:uid="{00000000-0005-0000-0000-00008E160000}"/>
    <cellStyle name="Normal 4 6 4 7 2" xfId="13270" xr:uid="{E7C60F89-53E8-49D2-B3BE-8C55D39A78DB}"/>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2 2 2" xfId="15821" xr:uid="{A7551A17-0084-4610-88C4-D03F17531F78}"/>
    <cellStyle name="Normal 4 6 5 2 3" xfId="11608" xr:uid="{EF199E2D-4B0F-4677-B4DF-C571EB5B3192}"/>
    <cellStyle name="Normal 4 6 5 3" xfId="5181" xr:uid="{00000000-0005-0000-0000-000092160000}"/>
    <cellStyle name="Normal 4 6 5 3 2" xfId="13676" xr:uid="{613AB1B8-950A-40BA-B4DC-5141493097AC}"/>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2 2 2" xfId="16234" xr:uid="{57B91FB2-550D-4F41-A446-0F6CC07F575E}"/>
    <cellStyle name="Normal 4 6 6 2 3" xfId="12021" xr:uid="{0252DA28-B591-44C8-9593-89166135C616}"/>
    <cellStyle name="Normal 4 6 6 3" xfId="5594" xr:uid="{00000000-0005-0000-0000-000096160000}"/>
    <cellStyle name="Normal 4 6 6 3 2" xfId="14089" xr:uid="{57260EEA-DC24-4F12-838C-C788F39EB6AC}"/>
    <cellStyle name="Normal 4 6 6 4" xfId="9876" xr:uid="{AE64368A-FC62-431A-8825-B4B3CE868A53}"/>
    <cellStyle name="Normal 4 6 7" xfId="1700" xr:uid="{00000000-0005-0000-0000-000097160000}"/>
    <cellStyle name="Normal 4 6 7 2" xfId="3930" xr:uid="{00000000-0005-0000-0000-000098160000}"/>
    <cellStyle name="Normal 4 6 7 2 2" xfId="8152" xr:uid="{00000000-0005-0000-0000-000099160000}"/>
    <cellStyle name="Normal 4 6 7 2 2 2" xfId="16647" xr:uid="{1615B2D2-5744-4726-B46F-C17074A9B9F7}"/>
    <cellStyle name="Normal 4 6 7 2 3" xfId="12434" xr:uid="{5ADB4061-0C4E-4D60-BA48-2EA2BC0579B4}"/>
    <cellStyle name="Normal 4 6 7 3" xfId="6007" xr:uid="{00000000-0005-0000-0000-00009A160000}"/>
    <cellStyle name="Normal 4 6 7 3 2" xfId="14502" xr:uid="{DB04DC95-2C33-4E90-898B-D4DAFD9FC6C7}"/>
    <cellStyle name="Normal 4 6 7 4" xfId="10289" xr:uid="{930E706C-E582-475F-8B22-129FEA32C470}"/>
    <cellStyle name="Normal 4 6 8" xfId="2114" xr:uid="{00000000-0005-0000-0000-00009B160000}"/>
    <cellStyle name="Normal 4 6 8 2" xfId="4343" xr:uid="{00000000-0005-0000-0000-00009C160000}"/>
    <cellStyle name="Normal 4 6 8 2 2" xfId="8565" xr:uid="{00000000-0005-0000-0000-00009D160000}"/>
    <cellStyle name="Normal 4 6 8 2 2 2" xfId="17060" xr:uid="{57B3230D-DB9D-4057-8480-4BCBDB824774}"/>
    <cellStyle name="Normal 4 6 8 2 3" xfId="12847" xr:uid="{D81FE287-7D0E-4497-85B6-3A6E0FA108A7}"/>
    <cellStyle name="Normal 4 6 8 3" xfId="6420" xr:uid="{00000000-0005-0000-0000-00009E160000}"/>
    <cellStyle name="Normal 4 6 8 3 2" xfId="14915" xr:uid="{200E9CBE-1DBF-46AF-8F52-3CA312CA6120}"/>
    <cellStyle name="Normal 4 6 8 4" xfId="10702" xr:uid="{60278312-C29E-44AC-8235-7101E38B8EC2}"/>
    <cellStyle name="Normal 4 6 9" xfId="2550" xr:uid="{00000000-0005-0000-0000-00009F160000}"/>
    <cellStyle name="Normal 4 6 9 2" xfId="6833" xr:uid="{00000000-0005-0000-0000-0000A0160000}"/>
    <cellStyle name="Normal 4 6 9 2 2" xfId="15328" xr:uid="{68005D13-D264-4076-B4ED-3EF93EE3C5DD}"/>
    <cellStyle name="Normal 4 6 9 3" xfId="11115" xr:uid="{8C7B13F8-3BC3-43E9-BD47-73305D786F69}"/>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830" xr:uid="{2034163A-EC75-41BF-A3C1-F0FA01C4AA26}"/>
    <cellStyle name="Normal 4 7 2 2 2 3" xfId="11617" xr:uid="{FBE9ECA9-867D-4499-9B95-A61BD60B6464}"/>
    <cellStyle name="Normal 4 7 2 2 3" xfId="5190" xr:uid="{00000000-0005-0000-0000-0000A6160000}"/>
    <cellStyle name="Normal 4 7 2 2 3 2" xfId="13685" xr:uid="{7345EDA7-20BC-4CF7-A260-67AD2923D4AE}"/>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2 2 2" xfId="16243" xr:uid="{DF99BC19-FA9B-4B55-83CA-13058D97A631}"/>
    <cellStyle name="Normal 4 7 2 3 2 3" xfId="12030" xr:uid="{4BC124BD-5E89-4895-B811-7391A56C003D}"/>
    <cellStyle name="Normal 4 7 2 3 3" xfId="5603" xr:uid="{00000000-0005-0000-0000-0000AA160000}"/>
    <cellStyle name="Normal 4 7 2 3 3 2" xfId="14098" xr:uid="{66E7A922-E1B0-4A5D-AC76-4C6C04E521F8}"/>
    <cellStyle name="Normal 4 7 2 3 4" xfId="9885" xr:uid="{AC06CE07-7CFA-40BF-80F7-9506D01C7F1F}"/>
    <cellStyle name="Normal 4 7 2 4" xfId="1709" xr:uid="{00000000-0005-0000-0000-0000AB160000}"/>
    <cellStyle name="Normal 4 7 2 4 2" xfId="3939" xr:uid="{00000000-0005-0000-0000-0000AC160000}"/>
    <cellStyle name="Normal 4 7 2 4 2 2" xfId="8161" xr:uid="{00000000-0005-0000-0000-0000AD160000}"/>
    <cellStyle name="Normal 4 7 2 4 2 2 2" xfId="16656" xr:uid="{39DF594B-9767-4918-86CE-E9605ABF3C09}"/>
    <cellStyle name="Normal 4 7 2 4 2 3" xfId="12443" xr:uid="{EBCCE4AC-D884-4D3B-BE15-53F4DB2E133C}"/>
    <cellStyle name="Normal 4 7 2 4 3" xfId="6016" xr:uid="{00000000-0005-0000-0000-0000AE160000}"/>
    <cellStyle name="Normal 4 7 2 4 3 2" xfId="14511" xr:uid="{CFBCFF22-6B0D-4FF5-95F3-B3C87E3F16CC}"/>
    <cellStyle name="Normal 4 7 2 4 4" xfId="10298" xr:uid="{AF7C4489-757B-43A0-BBA6-B7793CF00325}"/>
    <cellStyle name="Normal 4 7 2 5" xfId="2123" xr:uid="{00000000-0005-0000-0000-0000AF160000}"/>
    <cellStyle name="Normal 4 7 2 5 2" xfId="4352" xr:uid="{00000000-0005-0000-0000-0000B0160000}"/>
    <cellStyle name="Normal 4 7 2 5 2 2" xfId="8574" xr:uid="{00000000-0005-0000-0000-0000B1160000}"/>
    <cellStyle name="Normal 4 7 2 5 2 2 2" xfId="17069" xr:uid="{2C415797-5247-491B-9CDE-D86C2E8D52AB}"/>
    <cellStyle name="Normal 4 7 2 5 2 3" xfId="12856" xr:uid="{3ADD454E-0A99-4681-B251-24B958910364}"/>
    <cellStyle name="Normal 4 7 2 5 3" xfId="6429" xr:uid="{00000000-0005-0000-0000-0000B2160000}"/>
    <cellStyle name="Normal 4 7 2 5 3 2" xfId="14924" xr:uid="{FCDB1420-9BBC-4B75-AC96-88308647E8BE}"/>
    <cellStyle name="Normal 4 7 2 5 4" xfId="10711" xr:uid="{BC837F64-799D-466F-8BD3-141382925E73}"/>
    <cellStyle name="Normal 4 7 2 6" xfId="2559" xr:uid="{00000000-0005-0000-0000-0000B3160000}"/>
    <cellStyle name="Normal 4 7 2 6 2" xfId="6842" xr:uid="{00000000-0005-0000-0000-0000B4160000}"/>
    <cellStyle name="Normal 4 7 2 6 2 2" xfId="15337" xr:uid="{D4F982A3-A6DD-4C33-835B-17892139F79C}"/>
    <cellStyle name="Normal 4 7 2 6 3" xfId="11124" xr:uid="{37A0EFE0-AFF3-4DA4-A3EC-11997752703E}"/>
    <cellStyle name="Normal 4 7 2 7" xfId="4777" xr:uid="{00000000-0005-0000-0000-0000B5160000}"/>
    <cellStyle name="Normal 4 7 2 7 2" xfId="13272" xr:uid="{551BCBD6-3CAB-47B0-B142-79059673BE9F}"/>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2 2 2" xfId="15829" xr:uid="{1C30C1FE-3C73-4923-B88C-AF2ED80CB006}"/>
    <cellStyle name="Normal 4 7 3 2 3" xfId="11616" xr:uid="{08B7C8E3-362B-4699-ABBF-8F52089F87F4}"/>
    <cellStyle name="Normal 4 7 3 3" xfId="5189" xr:uid="{00000000-0005-0000-0000-0000B9160000}"/>
    <cellStyle name="Normal 4 7 3 3 2" xfId="13684" xr:uid="{FBBD0D90-7D58-4133-8D72-FE8BC4323004}"/>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2 2 2" xfId="16242" xr:uid="{CFCAF011-8DEC-42F8-A5AC-C530FF61C29B}"/>
    <cellStyle name="Normal 4 7 4 2 3" xfId="12029" xr:uid="{A4164A32-45F9-4656-B227-4DF1E2431A6B}"/>
    <cellStyle name="Normal 4 7 4 3" xfId="5602" xr:uid="{00000000-0005-0000-0000-0000BD160000}"/>
    <cellStyle name="Normal 4 7 4 3 2" xfId="14097" xr:uid="{EBFA32C2-8219-4258-9657-DA5A5E53C346}"/>
    <cellStyle name="Normal 4 7 4 4" xfId="9884" xr:uid="{93983CD8-71E7-4304-BE40-C3ABACB63EC2}"/>
    <cellStyle name="Normal 4 7 5" xfId="1708" xr:uid="{00000000-0005-0000-0000-0000BE160000}"/>
    <cellStyle name="Normal 4 7 5 2" xfId="3938" xr:uid="{00000000-0005-0000-0000-0000BF160000}"/>
    <cellStyle name="Normal 4 7 5 2 2" xfId="8160" xr:uid="{00000000-0005-0000-0000-0000C0160000}"/>
    <cellStyle name="Normal 4 7 5 2 2 2" xfId="16655" xr:uid="{8DC790A7-8491-4649-B08D-B1E5B800EBAD}"/>
    <cellStyle name="Normal 4 7 5 2 3" xfId="12442" xr:uid="{F1093F75-5ACE-4A9E-9A10-1A8C28DD2E7E}"/>
    <cellStyle name="Normal 4 7 5 3" xfId="6015" xr:uid="{00000000-0005-0000-0000-0000C1160000}"/>
    <cellStyle name="Normal 4 7 5 3 2" xfId="14510" xr:uid="{61FC78A0-86E7-49BF-8E23-6D440B82CD82}"/>
    <cellStyle name="Normal 4 7 5 4" xfId="10297" xr:uid="{2AE5925B-0C30-4C24-B2E6-8899763B389D}"/>
    <cellStyle name="Normal 4 7 6" xfId="2122" xr:uid="{00000000-0005-0000-0000-0000C2160000}"/>
    <cellStyle name="Normal 4 7 6 2" xfId="4351" xr:uid="{00000000-0005-0000-0000-0000C3160000}"/>
    <cellStyle name="Normal 4 7 6 2 2" xfId="8573" xr:uid="{00000000-0005-0000-0000-0000C4160000}"/>
    <cellStyle name="Normal 4 7 6 2 2 2" xfId="17068" xr:uid="{D87108FD-FF28-4663-A8BE-7022ECD9F977}"/>
    <cellStyle name="Normal 4 7 6 2 3" xfId="12855" xr:uid="{639FB1A8-B036-427F-BDD2-FD41FDDE14C8}"/>
    <cellStyle name="Normal 4 7 6 3" xfId="6428" xr:uid="{00000000-0005-0000-0000-0000C5160000}"/>
    <cellStyle name="Normal 4 7 6 3 2" xfId="14923" xr:uid="{4E253616-9969-44DE-9F11-91F75527EC0E}"/>
    <cellStyle name="Normal 4 7 6 4" xfId="10710" xr:uid="{7052F30A-EAD3-4495-B680-12B0B94B3839}"/>
    <cellStyle name="Normal 4 7 7" xfId="2558" xr:uid="{00000000-0005-0000-0000-0000C6160000}"/>
    <cellStyle name="Normal 4 7 7 2" xfId="6841" xr:uid="{00000000-0005-0000-0000-0000C7160000}"/>
    <cellStyle name="Normal 4 7 7 2 2" xfId="15336" xr:uid="{4C0383F4-FC8B-4D3A-AE9D-7E85276B1F79}"/>
    <cellStyle name="Normal 4 7 7 3" xfId="11123" xr:uid="{55DF3941-A42B-4046-BB69-491F7F3AD0C7}"/>
    <cellStyle name="Normal 4 7 8" xfId="4776" xr:uid="{00000000-0005-0000-0000-0000C8160000}"/>
    <cellStyle name="Normal 4 7 8 2" xfId="13271" xr:uid="{0F693098-2A52-41C0-B2CB-CFD03384BFB7}"/>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831" xr:uid="{7E2AA296-27CD-4DC5-9BA4-82B911E6CAAB}"/>
    <cellStyle name="Normal 4 8 2 2 3" xfId="11618" xr:uid="{6D3EDF8E-98FA-4C19-8EA8-883DFA1AD96B}"/>
    <cellStyle name="Normal 4 8 2 3" xfId="5191" xr:uid="{00000000-0005-0000-0000-0000CD160000}"/>
    <cellStyle name="Normal 4 8 2 3 2" xfId="13686" xr:uid="{6C8116C0-8108-4AF6-BD2D-7059A2A4DBCE}"/>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2 2 2" xfId="16244" xr:uid="{1EC7CDAF-6B40-4141-AB8C-EF4A5093D1BB}"/>
    <cellStyle name="Normal 4 8 3 2 3" xfId="12031" xr:uid="{C87F7019-A604-498A-9BF0-FAEA86AE7DC6}"/>
    <cellStyle name="Normal 4 8 3 3" xfId="5604" xr:uid="{00000000-0005-0000-0000-0000D1160000}"/>
    <cellStyle name="Normal 4 8 3 3 2" xfId="14099" xr:uid="{6ECA6EDC-4EDD-42E5-871D-21CEF2D0FC81}"/>
    <cellStyle name="Normal 4 8 3 4" xfId="9886" xr:uid="{E87B791A-5138-443E-BEB5-B5D49807EB98}"/>
    <cellStyle name="Normal 4 8 4" xfId="1710" xr:uid="{00000000-0005-0000-0000-0000D2160000}"/>
    <cellStyle name="Normal 4 8 4 2" xfId="3940" xr:uid="{00000000-0005-0000-0000-0000D3160000}"/>
    <cellStyle name="Normal 4 8 4 2 2" xfId="8162" xr:uid="{00000000-0005-0000-0000-0000D4160000}"/>
    <cellStyle name="Normal 4 8 4 2 2 2" xfId="16657" xr:uid="{E9867F46-9287-4C04-BCF7-CE4235B178C2}"/>
    <cellStyle name="Normal 4 8 4 2 3" xfId="12444" xr:uid="{B8E6946A-0D70-447D-A44E-2EB40A59E68C}"/>
    <cellStyle name="Normal 4 8 4 3" xfId="6017" xr:uid="{00000000-0005-0000-0000-0000D5160000}"/>
    <cellStyle name="Normal 4 8 4 3 2" xfId="14512" xr:uid="{B6002A5E-E6C4-4124-8B76-A16F0752273D}"/>
    <cellStyle name="Normal 4 8 4 4" xfId="10299" xr:uid="{5338D231-3529-43A8-8EAB-0931701C7975}"/>
    <cellStyle name="Normal 4 8 5" xfId="2124" xr:uid="{00000000-0005-0000-0000-0000D6160000}"/>
    <cellStyle name="Normal 4 8 5 2" xfId="4353" xr:uid="{00000000-0005-0000-0000-0000D7160000}"/>
    <cellStyle name="Normal 4 8 5 2 2" xfId="8575" xr:uid="{00000000-0005-0000-0000-0000D8160000}"/>
    <cellStyle name="Normal 4 8 5 2 2 2" xfId="17070" xr:uid="{EEC64AD6-709F-4E14-AB0A-2DB4388AA849}"/>
    <cellStyle name="Normal 4 8 5 2 3" xfId="12857" xr:uid="{C2611739-D855-4596-AC6E-65A6B63065A9}"/>
    <cellStyle name="Normal 4 8 5 3" xfId="6430" xr:uid="{00000000-0005-0000-0000-0000D9160000}"/>
    <cellStyle name="Normal 4 8 5 3 2" xfId="14925" xr:uid="{0411BD83-A277-48DC-8928-A88E49BE544A}"/>
    <cellStyle name="Normal 4 8 5 4" xfId="10712" xr:uid="{67338122-6562-4707-A225-D8F39194EBFC}"/>
    <cellStyle name="Normal 4 8 6" xfId="2560" xr:uid="{00000000-0005-0000-0000-0000DA160000}"/>
    <cellStyle name="Normal 4 8 6 2" xfId="6843" xr:uid="{00000000-0005-0000-0000-0000DB160000}"/>
    <cellStyle name="Normal 4 8 6 2 2" xfId="15338" xr:uid="{04EC03B2-3284-4E2F-B039-3B2A52F9BB39}"/>
    <cellStyle name="Normal 4 8 6 3" xfId="11125" xr:uid="{B41DF4FF-4B98-480A-96B4-34B1BE2A4E7B}"/>
    <cellStyle name="Normal 4 8 7" xfId="4778" xr:uid="{00000000-0005-0000-0000-0000DC160000}"/>
    <cellStyle name="Normal 4 8 7 2" xfId="13273" xr:uid="{79E80A43-D0C4-463E-95EF-B7ECCE27FBF1}"/>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58" xr:uid="{A16527C5-7740-47A3-873A-06CB81E4C634}"/>
    <cellStyle name="Normal 5 10 2 3" xfId="12445" xr:uid="{E7D5C7BA-EB2B-490A-BB6A-85C296E68979}"/>
    <cellStyle name="Normal 5 10 3" xfId="6018" xr:uid="{00000000-0005-0000-0000-0000E2160000}"/>
    <cellStyle name="Normal 5 10 3 2" xfId="14513" xr:uid="{D06130AE-4558-4E93-B4FA-46E15A227071}"/>
    <cellStyle name="Normal 5 10 4" xfId="10300" xr:uid="{52937ED7-795A-4636-A333-06D0F3381F7B}"/>
    <cellStyle name="Normal 5 11" xfId="2125" xr:uid="{00000000-0005-0000-0000-0000E3160000}"/>
    <cellStyle name="Normal 5 11 2" xfId="4354" xr:uid="{00000000-0005-0000-0000-0000E4160000}"/>
    <cellStyle name="Normal 5 11 2 2" xfId="8576" xr:uid="{00000000-0005-0000-0000-0000E5160000}"/>
    <cellStyle name="Normal 5 11 2 2 2" xfId="17071" xr:uid="{773994B0-80BA-4138-9EE5-0B7DB8E8E01D}"/>
    <cellStyle name="Normal 5 11 2 3" xfId="12858" xr:uid="{E872AE06-D6AB-4BB0-9E2A-23B5C2F2226C}"/>
    <cellStyle name="Normal 5 11 3" xfId="6431" xr:uid="{00000000-0005-0000-0000-0000E6160000}"/>
    <cellStyle name="Normal 5 11 3 2" xfId="14926" xr:uid="{667D7E38-DFE4-4B14-A1F0-CC360F6835C8}"/>
    <cellStyle name="Normal 5 11 4" xfId="10713" xr:uid="{FB0A812C-DD75-4CE1-A251-280401DE81AF}"/>
    <cellStyle name="Normal 5 12" xfId="2561" xr:uid="{00000000-0005-0000-0000-0000E7160000}"/>
    <cellStyle name="Normal 5 12 2" xfId="6844" xr:uid="{00000000-0005-0000-0000-0000E8160000}"/>
    <cellStyle name="Normal 5 12 2 2" xfId="15339" xr:uid="{A08AC5F7-A625-4730-9905-BA75EA25F7A3}"/>
    <cellStyle name="Normal 5 12 3" xfId="11126" xr:uid="{13F1D773-8CF6-4277-80D5-5DDF67AB75E3}"/>
    <cellStyle name="Normal 5 13" xfId="4779" xr:uid="{00000000-0005-0000-0000-0000E9160000}"/>
    <cellStyle name="Normal 5 13 2" xfId="13274" xr:uid="{46963A13-4915-47B1-9970-3E98814EBC6D}"/>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72" xr:uid="{0CC787D9-48A3-4BCC-8C49-461B6BAB47DF}"/>
    <cellStyle name="Normal 5 2 10 2 3" xfId="12859" xr:uid="{1A775E10-D239-45AD-AE7C-72978BAE7E27}"/>
    <cellStyle name="Normal 5 2 10 3" xfId="6432" xr:uid="{00000000-0005-0000-0000-0000EE160000}"/>
    <cellStyle name="Normal 5 2 10 3 2" xfId="14927" xr:uid="{51D3251D-E476-433E-A33F-CEEF8668726B}"/>
    <cellStyle name="Normal 5 2 10 4" xfId="10714" xr:uid="{A8A535C3-CEBC-4702-8253-4F0C3DF4F476}"/>
    <cellStyle name="Normal 5 2 11" xfId="2562" xr:uid="{00000000-0005-0000-0000-0000EF160000}"/>
    <cellStyle name="Normal 5 2 11 2" xfId="6845" xr:uid="{00000000-0005-0000-0000-0000F0160000}"/>
    <cellStyle name="Normal 5 2 11 2 2" xfId="15340" xr:uid="{51E8F676-C98E-4150-BEDC-069978D584F5}"/>
    <cellStyle name="Normal 5 2 11 3" xfId="11127" xr:uid="{D26E8F4F-CC86-41D2-A939-DB87FAB1122F}"/>
    <cellStyle name="Normal 5 2 12" xfId="4780" xr:uid="{00000000-0005-0000-0000-0000F1160000}"/>
    <cellStyle name="Normal 5 2 12 2" xfId="13275" xr:uid="{C6769620-4CA4-4117-8B9D-DEB6C88A5BC1}"/>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0 2 2" xfId="15341" xr:uid="{F4F10B47-6FEA-4AD2-ABFA-7BCBCC70A622}"/>
    <cellStyle name="Normal 5 2 2 10 3" xfId="11128" xr:uid="{39CA4EFD-FB57-4C0A-AB6C-9C6B9E90C04A}"/>
    <cellStyle name="Normal 5 2 2 11" xfId="4781" xr:uid="{00000000-0005-0000-0000-0000F5160000}"/>
    <cellStyle name="Normal 5 2 2 11 2" xfId="13276" xr:uid="{52922249-5314-4D16-BAEB-5FEA26409E61}"/>
    <cellStyle name="Normal 5 2 2 12" xfId="8753" xr:uid="{96D04E2F-D92F-448D-9FDA-8261D8BEE094}"/>
    <cellStyle name="Normal 5 2 2 2" xfId="409" xr:uid="{00000000-0005-0000-0000-0000F6160000}"/>
    <cellStyle name="Normal 5 2 2 2 10" xfId="4782" xr:uid="{00000000-0005-0000-0000-0000F7160000}"/>
    <cellStyle name="Normal 5 2 2 2 10 2" xfId="13277" xr:uid="{08DDA95D-FFD5-4F69-A4FB-D62C152DCDD2}"/>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838" xr:uid="{47AD1DF6-F372-425B-B034-7875C4BD77FC}"/>
    <cellStyle name="Normal 5 2 2 2 2 2 2 2 2 3" xfId="11625" xr:uid="{74AFAFE5-A45B-4B7E-A72E-F58872C8FD13}"/>
    <cellStyle name="Normal 5 2 2 2 2 2 2 2 3" xfId="5198" xr:uid="{00000000-0005-0000-0000-0000FE160000}"/>
    <cellStyle name="Normal 5 2 2 2 2 2 2 2 3 2" xfId="13693" xr:uid="{6E45F579-1E03-491C-A78C-E1C549E116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51" xr:uid="{98297A5A-FD8C-4E1F-A409-61C1E8B1EA1F}"/>
    <cellStyle name="Normal 5 2 2 2 2 2 2 3 2 3" xfId="12038" xr:uid="{14E6F983-AB36-4F49-9EB5-39CB562A77D2}"/>
    <cellStyle name="Normal 5 2 2 2 2 2 2 3 3" xfId="5611" xr:uid="{00000000-0005-0000-0000-000002170000}"/>
    <cellStyle name="Normal 5 2 2 2 2 2 2 3 3 2" xfId="14106" xr:uid="{EABA6634-C29A-40FF-BEFF-9EDA40E51D09}"/>
    <cellStyle name="Normal 5 2 2 2 2 2 2 3 4" xfId="9893" xr:uid="{A6165F52-3635-47A8-A0D9-78FCAFE1C015}"/>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64" xr:uid="{A16BBE7E-21A7-43A1-B16E-46485A81E61B}"/>
    <cellStyle name="Normal 5 2 2 2 2 2 2 4 2 3" xfId="12451" xr:uid="{1DD18D8C-3C2B-498F-BD7B-BCCCA56F9291}"/>
    <cellStyle name="Normal 5 2 2 2 2 2 2 4 3" xfId="6024" xr:uid="{00000000-0005-0000-0000-000006170000}"/>
    <cellStyle name="Normal 5 2 2 2 2 2 2 4 3 2" xfId="14519" xr:uid="{1A9D5533-FD86-4246-98CF-8CC2D4A95E2D}"/>
    <cellStyle name="Normal 5 2 2 2 2 2 2 4 4" xfId="10306" xr:uid="{5FF8325F-BCF1-476E-A27D-DD898C029B37}"/>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77" xr:uid="{12795CFC-F442-48CD-B0F6-345B8781B74A}"/>
    <cellStyle name="Normal 5 2 2 2 2 2 2 5 2 3" xfId="12864" xr:uid="{359A0970-3B7C-4819-ABD9-AEB78EB45475}"/>
    <cellStyle name="Normal 5 2 2 2 2 2 2 5 3" xfId="6437" xr:uid="{00000000-0005-0000-0000-00000A170000}"/>
    <cellStyle name="Normal 5 2 2 2 2 2 2 5 3 2" xfId="14932" xr:uid="{97306F4A-E2FA-4627-9676-8A163F0578CD}"/>
    <cellStyle name="Normal 5 2 2 2 2 2 2 5 4" xfId="10719" xr:uid="{9887D81F-E83C-4D46-8CAF-36C83AD60ADE}"/>
    <cellStyle name="Normal 5 2 2 2 2 2 2 6" xfId="2567" xr:uid="{00000000-0005-0000-0000-00000B170000}"/>
    <cellStyle name="Normal 5 2 2 2 2 2 2 6 2" xfId="6850" xr:uid="{00000000-0005-0000-0000-00000C170000}"/>
    <cellStyle name="Normal 5 2 2 2 2 2 2 6 2 2" xfId="15345" xr:uid="{DE422A90-F49F-4580-972D-0D22FEC04716}"/>
    <cellStyle name="Normal 5 2 2 2 2 2 2 6 3" xfId="11132" xr:uid="{D9890B94-5A70-4C12-B100-5D9EE7DF106A}"/>
    <cellStyle name="Normal 5 2 2 2 2 2 2 7" xfId="4785" xr:uid="{00000000-0005-0000-0000-00000D170000}"/>
    <cellStyle name="Normal 5 2 2 2 2 2 2 7 2" xfId="13280" xr:uid="{9EF7691D-B181-43A5-AA68-975B4EE914DC}"/>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837" xr:uid="{AB4E382D-6857-44FF-A27F-7C39061C55AE}"/>
    <cellStyle name="Normal 5 2 2 2 2 2 3 2 3" xfId="11624" xr:uid="{9714B41C-5424-4A13-9052-BE61E15F1F3F}"/>
    <cellStyle name="Normal 5 2 2 2 2 2 3 3" xfId="5197" xr:uid="{00000000-0005-0000-0000-000011170000}"/>
    <cellStyle name="Normal 5 2 2 2 2 2 3 3 2" xfId="13692" xr:uid="{A15FA996-09D1-4CF9-8B60-FC53B8159DC4}"/>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50" xr:uid="{3BE51B54-C7C5-4B1D-8C51-DCE31B3E2122}"/>
    <cellStyle name="Normal 5 2 2 2 2 2 4 2 3" xfId="12037" xr:uid="{BDFF0BC5-B177-4955-B153-571715BAFEC3}"/>
    <cellStyle name="Normal 5 2 2 2 2 2 4 3" xfId="5610" xr:uid="{00000000-0005-0000-0000-000015170000}"/>
    <cellStyle name="Normal 5 2 2 2 2 2 4 3 2" xfId="14105" xr:uid="{C5DDF19F-C03F-4892-949A-B2EABE8BE114}"/>
    <cellStyle name="Normal 5 2 2 2 2 2 4 4" xfId="9892" xr:uid="{E88ADC2C-AAAA-402A-8A96-10718C1D27B4}"/>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63" xr:uid="{10470084-B1AB-4DC4-8993-59A046DB21FD}"/>
    <cellStyle name="Normal 5 2 2 2 2 2 5 2 3" xfId="12450" xr:uid="{72562A08-9C4F-4ACD-9912-087FC37EC091}"/>
    <cellStyle name="Normal 5 2 2 2 2 2 5 3" xfId="6023" xr:uid="{00000000-0005-0000-0000-000019170000}"/>
    <cellStyle name="Normal 5 2 2 2 2 2 5 3 2" xfId="14518" xr:uid="{5003AAE5-F129-478B-BC2B-452D180526F2}"/>
    <cellStyle name="Normal 5 2 2 2 2 2 5 4" xfId="10305" xr:uid="{28C375BC-5E83-494D-BFD7-E6CE3C41B06D}"/>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76" xr:uid="{93DDE81D-B918-40D1-B0D2-4A8C66B61FD8}"/>
    <cellStyle name="Normal 5 2 2 2 2 2 6 2 3" xfId="12863" xr:uid="{F7B7FB9F-0C82-4EFE-932C-8F2A7D429AB3}"/>
    <cellStyle name="Normal 5 2 2 2 2 2 6 3" xfId="6436" xr:uid="{00000000-0005-0000-0000-00001D170000}"/>
    <cellStyle name="Normal 5 2 2 2 2 2 6 3 2" xfId="14931" xr:uid="{604C0301-FFB1-4776-9F9D-0D4979D1369D}"/>
    <cellStyle name="Normal 5 2 2 2 2 2 6 4" xfId="10718" xr:uid="{2AC73408-D666-4145-BBE0-91BD3A93DFF3}"/>
    <cellStyle name="Normal 5 2 2 2 2 2 7" xfId="2566" xr:uid="{00000000-0005-0000-0000-00001E170000}"/>
    <cellStyle name="Normal 5 2 2 2 2 2 7 2" xfId="6849" xr:uid="{00000000-0005-0000-0000-00001F170000}"/>
    <cellStyle name="Normal 5 2 2 2 2 2 7 2 2" xfId="15344" xr:uid="{04309C37-D6BB-4731-8941-ADC6D432EC63}"/>
    <cellStyle name="Normal 5 2 2 2 2 2 7 3" xfId="11131" xr:uid="{5A051FE7-9341-4C79-B975-F33532E882FD}"/>
    <cellStyle name="Normal 5 2 2 2 2 2 8" xfId="4784" xr:uid="{00000000-0005-0000-0000-000020170000}"/>
    <cellStyle name="Normal 5 2 2 2 2 2 8 2" xfId="13279" xr:uid="{7C0250C1-5CF7-45A1-9A70-BB7F7A8F9544}"/>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839" xr:uid="{485D1BB8-6CA6-42F9-BA36-E5DC79D5E724}"/>
    <cellStyle name="Normal 5 2 2 2 2 3 2 2 3" xfId="11626" xr:uid="{F4063195-7EFD-403A-9087-408404C70B84}"/>
    <cellStyle name="Normal 5 2 2 2 2 3 2 3" xfId="5199" xr:uid="{00000000-0005-0000-0000-000025170000}"/>
    <cellStyle name="Normal 5 2 2 2 2 3 2 3 2" xfId="13694" xr:uid="{C4A551DA-F5E3-4B2F-BE33-D52437061382}"/>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52" xr:uid="{1815C790-13FA-44A9-9F8F-9964C7F8BD84}"/>
    <cellStyle name="Normal 5 2 2 2 2 3 3 2 3" xfId="12039" xr:uid="{7AA823B8-3346-4762-B417-2C44F9008211}"/>
    <cellStyle name="Normal 5 2 2 2 2 3 3 3" xfId="5612" xr:uid="{00000000-0005-0000-0000-000029170000}"/>
    <cellStyle name="Normal 5 2 2 2 2 3 3 3 2" xfId="14107" xr:uid="{AAD11D5C-A8BB-4319-A489-E71DFF0D1B0D}"/>
    <cellStyle name="Normal 5 2 2 2 2 3 3 4" xfId="9894" xr:uid="{5B275C06-1E8A-4B2B-9722-52AF97870D3E}"/>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65" xr:uid="{368CED0B-999D-4B1A-A07D-0F736F6FDDEA}"/>
    <cellStyle name="Normal 5 2 2 2 2 3 4 2 3" xfId="12452" xr:uid="{E0A1BC7B-5335-47DB-B280-9423A1DE5320}"/>
    <cellStyle name="Normal 5 2 2 2 2 3 4 3" xfId="6025" xr:uid="{00000000-0005-0000-0000-00002D170000}"/>
    <cellStyle name="Normal 5 2 2 2 2 3 4 3 2" xfId="14520" xr:uid="{0230EC54-55D1-43B3-944C-CF7B0996101F}"/>
    <cellStyle name="Normal 5 2 2 2 2 3 4 4" xfId="10307" xr:uid="{572BA5FA-B3AA-4950-9065-9CA1C854B789}"/>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78" xr:uid="{956EF94B-329B-47B8-A7FA-7663F2B3FBB0}"/>
    <cellStyle name="Normal 5 2 2 2 2 3 5 2 3" xfId="12865" xr:uid="{E537F7E9-7675-425E-B99B-F867DB340F31}"/>
    <cellStyle name="Normal 5 2 2 2 2 3 5 3" xfId="6438" xr:uid="{00000000-0005-0000-0000-000031170000}"/>
    <cellStyle name="Normal 5 2 2 2 2 3 5 3 2" xfId="14933" xr:uid="{21BB8142-62A9-46C0-B1D5-D14910B3447D}"/>
    <cellStyle name="Normal 5 2 2 2 2 3 5 4" xfId="10720" xr:uid="{0F282BE4-DF76-4B67-8D29-D6468C54F81A}"/>
    <cellStyle name="Normal 5 2 2 2 2 3 6" xfId="2568" xr:uid="{00000000-0005-0000-0000-000032170000}"/>
    <cellStyle name="Normal 5 2 2 2 2 3 6 2" xfId="6851" xr:uid="{00000000-0005-0000-0000-000033170000}"/>
    <cellStyle name="Normal 5 2 2 2 2 3 6 2 2" xfId="15346" xr:uid="{38469D44-5DA4-41BC-A346-21E80540ABF6}"/>
    <cellStyle name="Normal 5 2 2 2 2 3 6 3" xfId="11133" xr:uid="{A3C5750A-706A-4881-B048-48447F501225}"/>
    <cellStyle name="Normal 5 2 2 2 2 3 7" xfId="4786" xr:uid="{00000000-0005-0000-0000-000034170000}"/>
    <cellStyle name="Normal 5 2 2 2 2 3 7 2" xfId="13281" xr:uid="{FDCD0CA8-BBC6-4729-A731-C56732E062D5}"/>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836" xr:uid="{1BBF32B1-3CDB-4D79-869E-CE27FF2A40E2}"/>
    <cellStyle name="Normal 5 2 2 2 2 4 2 3" xfId="11623" xr:uid="{87E74F8D-9705-41DF-B9D2-D0910309300B}"/>
    <cellStyle name="Normal 5 2 2 2 2 4 3" xfId="5196" xr:uid="{00000000-0005-0000-0000-000038170000}"/>
    <cellStyle name="Normal 5 2 2 2 2 4 3 2" xfId="13691" xr:uid="{A5A3F46C-6886-4363-B70C-0BD5E7BD7C04}"/>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49" xr:uid="{B73EDB63-B80D-4E67-BB1F-9D2CE5F87519}"/>
    <cellStyle name="Normal 5 2 2 2 2 5 2 3" xfId="12036" xr:uid="{4DC1EE8F-E2BD-48B8-B81E-A39E13B4CFDD}"/>
    <cellStyle name="Normal 5 2 2 2 2 5 3" xfId="5609" xr:uid="{00000000-0005-0000-0000-00003C170000}"/>
    <cellStyle name="Normal 5 2 2 2 2 5 3 2" xfId="14104" xr:uid="{454F73E8-B436-4B8E-B91B-1AE0EF37742B}"/>
    <cellStyle name="Normal 5 2 2 2 2 5 4" xfId="9891" xr:uid="{4BD8CB6E-4545-4857-B4E7-194F639F7156}"/>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62" xr:uid="{D1644BE5-92E2-4312-9974-D8FCAFBDFC79}"/>
    <cellStyle name="Normal 5 2 2 2 2 6 2 3" xfId="12449" xr:uid="{2EB46A69-8CEA-4D4A-A8D9-685D9B095EDC}"/>
    <cellStyle name="Normal 5 2 2 2 2 6 3" xfId="6022" xr:uid="{00000000-0005-0000-0000-000040170000}"/>
    <cellStyle name="Normal 5 2 2 2 2 6 3 2" xfId="14517" xr:uid="{E79BD226-FEA1-40D8-A466-35C6964F62EE}"/>
    <cellStyle name="Normal 5 2 2 2 2 6 4" xfId="10304" xr:uid="{21DB1E5A-9616-4FA9-85AB-2881E3E448CC}"/>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75" xr:uid="{550AEF28-D352-49B4-9418-414DFF4DEB49}"/>
    <cellStyle name="Normal 5 2 2 2 2 7 2 3" xfId="12862" xr:uid="{F111AF44-52A5-4E91-AC77-B5A66B54FE25}"/>
    <cellStyle name="Normal 5 2 2 2 2 7 3" xfId="6435" xr:uid="{00000000-0005-0000-0000-000044170000}"/>
    <cellStyle name="Normal 5 2 2 2 2 7 3 2" xfId="14930" xr:uid="{71060433-1504-4D61-8D72-4FF2119EDECF}"/>
    <cellStyle name="Normal 5 2 2 2 2 7 4" xfId="10717" xr:uid="{BD69FE14-CDD4-42CC-A113-0F3D9DFCB4ED}"/>
    <cellStyle name="Normal 5 2 2 2 2 8" xfId="2565" xr:uid="{00000000-0005-0000-0000-000045170000}"/>
    <cellStyle name="Normal 5 2 2 2 2 8 2" xfId="6848" xr:uid="{00000000-0005-0000-0000-000046170000}"/>
    <cellStyle name="Normal 5 2 2 2 2 8 2 2" xfId="15343" xr:uid="{9715C0BF-2418-482A-8B5E-95C95CB35B4B}"/>
    <cellStyle name="Normal 5 2 2 2 2 8 3" xfId="11130" xr:uid="{202D7892-0044-4E78-A738-57FC3930C5C0}"/>
    <cellStyle name="Normal 5 2 2 2 2 9" xfId="4783" xr:uid="{00000000-0005-0000-0000-000047170000}"/>
    <cellStyle name="Normal 5 2 2 2 2 9 2" xfId="13278" xr:uid="{DA1E8D0C-4C06-414F-9317-EF77C28D77E2}"/>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841" xr:uid="{EA69E4D5-2917-4CFA-A1BD-76265C162D65}"/>
    <cellStyle name="Normal 5 2 2 2 3 2 2 2 3" xfId="11628" xr:uid="{EE3CFE3F-67D5-4C9C-AC34-06394FE38B5D}"/>
    <cellStyle name="Normal 5 2 2 2 3 2 2 3" xfId="5201" xr:uid="{00000000-0005-0000-0000-00004D170000}"/>
    <cellStyle name="Normal 5 2 2 2 3 2 2 3 2" xfId="13696" xr:uid="{4115B4F3-466E-4456-8592-5C8A977B54D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54" xr:uid="{70BBE9FC-899B-4C60-A30F-F77A03CEFC02}"/>
    <cellStyle name="Normal 5 2 2 2 3 2 3 2 3" xfId="12041" xr:uid="{F2C8C228-E596-4A86-9319-00AF04CB7EEF}"/>
    <cellStyle name="Normal 5 2 2 2 3 2 3 3" xfId="5614" xr:uid="{00000000-0005-0000-0000-000051170000}"/>
    <cellStyle name="Normal 5 2 2 2 3 2 3 3 2" xfId="14109" xr:uid="{8D38E061-C356-45DA-BA41-34A7D287D9F2}"/>
    <cellStyle name="Normal 5 2 2 2 3 2 3 4" xfId="9896" xr:uid="{A03D1E83-F713-487E-B080-FF553EF1FE57}"/>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67" xr:uid="{1E0D6E0D-9FE3-4281-BAB9-5DBE7213FE7F}"/>
    <cellStyle name="Normal 5 2 2 2 3 2 4 2 3" xfId="12454" xr:uid="{17A8D26A-3781-4A6D-AF02-6061C220AD8F}"/>
    <cellStyle name="Normal 5 2 2 2 3 2 4 3" xfId="6027" xr:uid="{00000000-0005-0000-0000-000055170000}"/>
    <cellStyle name="Normal 5 2 2 2 3 2 4 3 2" xfId="14522" xr:uid="{F6C32DC8-E994-4112-854D-503653A2BD68}"/>
    <cellStyle name="Normal 5 2 2 2 3 2 4 4" xfId="10309" xr:uid="{2098C1B5-0183-46DC-802B-AEC0F94D7EA5}"/>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80" xr:uid="{A5CECF5E-BFA4-4CA4-9AA5-45BA976A5569}"/>
    <cellStyle name="Normal 5 2 2 2 3 2 5 2 3" xfId="12867" xr:uid="{9C24AF83-6FD6-4111-82E5-34B7AB25403E}"/>
    <cellStyle name="Normal 5 2 2 2 3 2 5 3" xfId="6440" xr:uid="{00000000-0005-0000-0000-000059170000}"/>
    <cellStyle name="Normal 5 2 2 2 3 2 5 3 2" xfId="14935" xr:uid="{3E1E7E28-B9E0-43A1-9F64-A52BBFBA1BB5}"/>
    <cellStyle name="Normal 5 2 2 2 3 2 5 4" xfId="10722" xr:uid="{F1D00FF4-26E0-4665-951B-EA69960E3E32}"/>
    <cellStyle name="Normal 5 2 2 2 3 2 6" xfId="2570" xr:uid="{00000000-0005-0000-0000-00005A170000}"/>
    <cellStyle name="Normal 5 2 2 2 3 2 6 2" xfId="6853" xr:uid="{00000000-0005-0000-0000-00005B170000}"/>
    <cellStyle name="Normal 5 2 2 2 3 2 6 2 2" xfId="15348" xr:uid="{665638FE-12A5-4416-A1E9-8498B32C0410}"/>
    <cellStyle name="Normal 5 2 2 2 3 2 6 3" xfId="11135" xr:uid="{378B060A-A76E-41CC-BAE8-BA439F597870}"/>
    <cellStyle name="Normal 5 2 2 2 3 2 7" xfId="4788" xr:uid="{00000000-0005-0000-0000-00005C170000}"/>
    <cellStyle name="Normal 5 2 2 2 3 2 7 2" xfId="13283" xr:uid="{9097B8DA-3046-4845-84D8-F66B472C8F03}"/>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840" xr:uid="{543995D1-31EE-4672-A39B-36E6D9128E47}"/>
    <cellStyle name="Normal 5 2 2 2 3 3 2 3" xfId="11627" xr:uid="{B37B27CD-B369-4A91-8B60-84549DA5E6D3}"/>
    <cellStyle name="Normal 5 2 2 2 3 3 3" xfId="5200" xr:uid="{00000000-0005-0000-0000-000060170000}"/>
    <cellStyle name="Normal 5 2 2 2 3 3 3 2" xfId="13695" xr:uid="{AF14EDCB-A9A5-4920-86D2-DFD869F35E93}"/>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53" xr:uid="{02E96FEF-10C2-4AB1-80A9-6C70D7D460CD}"/>
    <cellStyle name="Normal 5 2 2 2 3 4 2 3" xfId="12040" xr:uid="{1298DEE4-C332-4505-95FB-276EF82CA77B}"/>
    <cellStyle name="Normal 5 2 2 2 3 4 3" xfId="5613" xr:uid="{00000000-0005-0000-0000-000064170000}"/>
    <cellStyle name="Normal 5 2 2 2 3 4 3 2" xfId="14108" xr:uid="{BACB34B8-4374-4381-8197-AE40B1FEDA28}"/>
    <cellStyle name="Normal 5 2 2 2 3 4 4" xfId="9895" xr:uid="{1F846D26-EF6A-4F72-B3FE-B0E364E8483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66" xr:uid="{037D465F-982D-46C1-A71C-CE70EC773066}"/>
    <cellStyle name="Normal 5 2 2 2 3 5 2 3" xfId="12453" xr:uid="{44466906-C7F8-4A29-A129-2E6F8D6F5583}"/>
    <cellStyle name="Normal 5 2 2 2 3 5 3" xfId="6026" xr:uid="{00000000-0005-0000-0000-000068170000}"/>
    <cellStyle name="Normal 5 2 2 2 3 5 3 2" xfId="14521" xr:uid="{57805F8C-84EF-42B5-B4D4-6FFAE7232D2D}"/>
    <cellStyle name="Normal 5 2 2 2 3 5 4" xfId="10308" xr:uid="{5DE2AFFB-1D39-42B9-86CC-BC0F9A59CD71}"/>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79" xr:uid="{E5DB8FAF-8E9D-45C8-8A94-2AEE47417123}"/>
    <cellStyle name="Normal 5 2 2 2 3 6 2 3" xfId="12866" xr:uid="{BF38A40F-363B-43C0-A4FC-0A212E8E2456}"/>
    <cellStyle name="Normal 5 2 2 2 3 6 3" xfId="6439" xr:uid="{00000000-0005-0000-0000-00006C170000}"/>
    <cellStyle name="Normal 5 2 2 2 3 6 3 2" xfId="14934" xr:uid="{56F2FD4D-FCCD-4D19-96D2-EE45EA4E2ADC}"/>
    <cellStyle name="Normal 5 2 2 2 3 6 4" xfId="10721" xr:uid="{B4E24F8E-3BB5-4D8C-8FA5-5B9AF7917761}"/>
    <cellStyle name="Normal 5 2 2 2 3 7" xfId="2569" xr:uid="{00000000-0005-0000-0000-00006D170000}"/>
    <cellStyle name="Normal 5 2 2 2 3 7 2" xfId="6852" xr:uid="{00000000-0005-0000-0000-00006E170000}"/>
    <cellStyle name="Normal 5 2 2 2 3 7 2 2" xfId="15347" xr:uid="{5949FEB2-83D1-4FAB-98E8-96F2690BAA33}"/>
    <cellStyle name="Normal 5 2 2 2 3 7 3" xfId="11134" xr:uid="{FFD845A3-1229-4022-B2AF-0081A6E8220E}"/>
    <cellStyle name="Normal 5 2 2 2 3 8" xfId="4787" xr:uid="{00000000-0005-0000-0000-00006F170000}"/>
    <cellStyle name="Normal 5 2 2 2 3 8 2" xfId="13282" xr:uid="{EA946A69-0E07-4283-8695-F32579111093}"/>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842" xr:uid="{1DE2DF74-EC3B-4B18-8946-A24F673F0EBA}"/>
    <cellStyle name="Normal 5 2 2 2 4 2 2 3" xfId="11629" xr:uid="{8712D940-68D5-4258-8D98-32A596E32A61}"/>
    <cellStyle name="Normal 5 2 2 2 4 2 3" xfId="5202" xr:uid="{00000000-0005-0000-0000-000074170000}"/>
    <cellStyle name="Normal 5 2 2 2 4 2 3 2" xfId="13697" xr:uid="{51935BC2-37DF-46A0-A19B-6D7FB48FC2B3}"/>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55" xr:uid="{49F65858-447A-4D99-9DAE-A901358598AA}"/>
    <cellStyle name="Normal 5 2 2 2 4 3 2 3" xfId="12042" xr:uid="{B9637489-D8CE-41B9-A202-ED7DDF4A040F}"/>
    <cellStyle name="Normal 5 2 2 2 4 3 3" xfId="5615" xr:uid="{00000000-0005-0000-0000-000078170000}"/>
    <cellStyle name="Normal 5 2 2 2 4 3 3 2" xfId="14110" xr:uid="{F7493563-DB82-46AA-98CF-B37CD0AB124A}"/>
    <cellStyle name="Normal 5 2 2 2 4 3 4" xfId="9897" xr:uid="{9336EF38-EBDB-4671-9467-C44B3CAFF9C9}"/>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68" xr:uid="{F4357302-C87F-49F1-A8B9-9BB9CA312181}"/>
    <cellStyle name="Normal 5 2 2 2 4 4 2 3" xfId="12455" xr:uid="{7208A124-FF09-44DB-8664-90EF906EE818}"/>
    <cellStyle name="Normal 5 2 2 2 4 4 3" xfId="6028" xr:uid="{00000000-0005-0000-0000-00007C170000}"/>
    <cellStyle name="Normal 5 2 2 2 4 4 3 2" xfId="14523" xr:uid="{DA3BE090-3C60-44CD-B80E-15D027995337}"/>
    <cellStyle name="Normal 5 2 2 2 4 4 4" xfId="10310" xr:uid="{5893EC24-B34B-4753-853A-914180F83402}"/>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81" xr:uid="{77D6D069-455C-443C-B792-69F41671661B}"/>
    <cellStyle name="Normal 5 2 2 2 4 5 2 3" xfId="12868" xr:uid="{44C6D296-3403-4992-963F-1802470B01C5}"/>
    <cellStyle name="Normal 5 2 2 2 4 5 3" xfId="6441" xr:uid="{00000000-0005-0000-0000-000080170000}"/>
    <cellStyle name="Normal 5 2 2 2 4 5 3 2" xfId="14936" xr:uid="{C0C54F5F-A6C4-473D-AE39-18D60AC153F9}"/>
    <cellStyle name="Normal 5 2 2 2 4 5 4" xfId="10723" xr:uid="{29583394-5E04-4995-9922-792D34A5FFC8}"/>
    <cellStyle name="Normal 5 2 2 2 4 6" xfId="2571" xr:uid="{00000000-0005-0000-0000-000081170000}"/>
    <cellStyle name="Normal 5 2 2 2 4 6 2" xfId="6854" xr:uid="{00000000-0005-0000-0000-000082170000}"/>
    <cellStyle name="Normal 5 2 2 2 4 6 2 2" xfId="15349" xr:uid="{B71AD545-1656-4AD0-8E90-5B46D8AF5CDA}"/>
    <cellStyle name="Normal 5 2 2 2 4 6 3" xfId="11136" xr:uid="{634540C8-1A56-472E-9E5D-837853639D8F}"/>
    <cellStyle name="Normal 5 2 2 2 4 7" xfId="4789" xr:uid="{00000000-0005-0000-0000-000083170000}"/>
    <cellStyle name="Normal 5 2 2 2 4 7 2" xfId="13284" xr:uid="{50E440D8-DF63-4D1F-9D3B-7E10C21EC23B}"/>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835" xr:uid="{45735A28-B7A4-49B8-8FE5-2DE036557CBC}"/>
    <cellStyle name="Normal 5 2 2 2 5 2 3" xfId="11622" xr:uid="{CDD754CB-A630-4F2B-9FBE-1DAB28026947}"/>
    <cellStyle name="Normal 5 2 2 2 5 3" xfId="5195" xr:uid="{00000000-0005-0000-0000-000087170000}"/>
    <cellStyle name="Normal 5 2 2 2 5 3 2" xfId="13690" xr:uid="{C8AC7376-7BFF-47AE-BA16-4EE647C9CDF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48" xr:uid="{E6C18074-A6E0-45C1-B8EA-EDE0AD6249EB}"/>
    <cellStyle name="Normal 5 2 2 2 6 2 3" xfId="12035" xr:uid="{DCBB84EA-B05F-4931-B5C9-7227EDBB7EB3}"/>
    <cellStyle name="Normal 5 2 2 2 6 3" xfId="5608" xr:uid="{00000000-0005-0000-0000-00008B170000}"/>
    <cellStyle name="Normal 5 2 2 2 6 3 2" xfId="14103" xr:uid="{49A8CA6F-0DA8-44BA-918F-84D149490892}"/>
    <cellStyle name="Normal 5 2 2 2 6 4" xfId="9890" xr:uid="{6EECD0B7-4080-4F7B-8EBC-780F47ADEF21}"/>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61" xr:uid="{DEF95F74-FD5F-4D36-813A-E37A58F4A8D9}"/>
    <cellStyle name="Normal 5 2 2 2 7 2 3" xfId="12448" xr:uid="{0B6B5B03-3A04-48C7-9F7E-988C53E7FBA9}"/>
    <cellStyle name="Normal 5 2 2 2 7 3" xfId="6021" xr:uid="{00000000-0005-0000-0000-00008F170000}"/>
    <cellStyle name="Normal 5 2 2 2 7 3 2" xfId="14516" xr:uid="{C55575AD-888A-46DE-8941-9E191E8519AE}"/>
    <cellStyle name="Normal 5 2 2 2 7 4" xfId="10303" xr:uid="{83F4939C-D9F7-4779-8A84-7D3CFCCEEB2A}"/>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74" xr:uid="{C7212295-B7C2-4896-8EFD-C4A9DD0EC004}"/>
    <cellStyle name="Normal 5 2 2 2 8 2 3" xfId="12861" xr:uid="{920A31A0-8D07-444B-A902-C884B3DC2DDC}"/>
    <cellStyle name="Normal 5 2 2 2 8 3" xfId="6434" xr:uid="{00000000-0005-0000-0000-000093170000}"/>
    <cellStyle name="Normal 5 2 2 2 8 3 2" xfId="14929" xr:uid="{F3A73960-5A11-42F9-9F3D-8DE7A84CD80F}"/>
    <cellStyle name="Normal 5 2 2 2 8 4" xfId="10716" xr:uid="{53D9D854-B028-44A1-B0D3-DF1A38E7F1AA}"/>
    <cellStyle name="Normal 5 2 2 2 9" xfId="2564" xr:uid="{00000000-0005-0000-0000-000094170000}"/>
    <cellStyle name="Normal 5 2 2 2 9 2" xfId="6847" xr:uid="{00000000-0005-0000-0000-000095170000}"/>
    <cellStyle name="Normal 5 2 2 2 9 2 2" xfId="15342" xr:uid="{CB1A0E50-72D1-4790-A116-BE986356F85A}"/>
    <cellStyle name="Normal 5 2 2 2 9 3" xfId="11129" xr:uid="{4E6F7CD9-ADDA-472E-8F5E-EDF31CE6FC56}"/>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45" xr:uid="{4E35FE7E-2CEC-4B44-B017-114D1A5F705F}"/>
    <cellStyle name="Normal 5 2 2 3 2 2 2 2 3" xfId="11632" xr:uid="{C8AA4DDF-36B6-4A0E-900D-D647D55B8275}"/>
    <cellStyle name="Normal 5 2 2 3 2 2 2 3" xfId="5205" xr:uid="{00000000-0005-0000-0000-00009C170000}"/>
    <cellStyle name="Normal 5 2 2 3 2 2 2 3 2" xfId="13700" xr:uid="{4AF61C24-5D37-46A0-9E80-5FAEB98BA09A}"/>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58" xr:uid="{92FBEDC2-C21F-485B-9D61-642318804FA1}"/>
    <cellStyle name="Normal 5 2 2 3 2 2 3 2 3" xfId="12045" xr:uid="{939F5EEF-FE2E-49F2-B41F-4CAE3A274D76}"/>
    <cellStyle name="Normal 5 2 2 3 2 2 3 3" xfId="5618" xr:uid="{00000000-0005-0000-0000-0000A0170000}"/>
    <cellStyle name="Normal 5 2 2 3 2 2 3 3 2" xfId="14113" xr:uid="{BDB57332-A4F8-438C-9EB2-E213CA7C2585}"/>
    <cellStyle name="Normal 5 2 2 3 2 2 3 4" xfId="9900" xr:uid="{A7421A73-3709-486E-B311-C1357BC8C6F3}"/>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71" xr:uid="{76F669EE-E9E2-45A1-9DD2-111974C16D6F}"/>
    <cellStyle name="Normal 5 2 2 3 2 2 4 2 3" xfId="12458" xr:uid="{263502F5-F20C-4A1A-9E3D-5E9554FA1833}"/>
    <cellStyle name="Normal 5 2 2 3 2 2 4 3" xfId="6031" xr:uid="{00000000-0005-0000-0000-0000A4170000}"/>
    <cellStyle name="Normal 5 2 2 3 2 2 4 3 2" xfId="14526" xr:uid="{56A7A3AE-5D3F-4E51-AA8B-AF68716AE1CD}"/>
    <cellStyle name="Normal 5 2 2 3 2 2 4 4" xfId="10313" xr:uid="{4B23ECC5-854A-4327-A368-FD5355819442}"/>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84" xr:uid="{AFFE92BA-3DC3-4EE6-A738-B192BA35F5CE}"/>
    <cellStyle name="Normal 5 2 2 3 2 2 5 2 3" xfId="12871" xr:uid="{772D8A06-DBA4-48D2-8E82-76193257E0C6}"/>
    <cellStyle name="Normal 5 2 2 3 2 2 5 3" xfId="6444" xr:uid="{00000000-0005-0000-0000-0000A8170000}"/>
    <cellStyle name="Normal 5 2 2 3 2 2 5 3 2" xfId="14939" xr:uid="{F60F8DBD-BC78-4D7D-A985-DB327BABB498}"/>
    <cellStyle name="Normal 5 2 2 3 2 2 5 4" xfId="10726" xr:uid="{B001A08B-87D9-43ED-92C1-8B3AD4726D78}"/>
    <cellStyle name="Normal 5 2 2 3 2 2 6" xfId="2574" xr:uid="{00000000-0005-0000-0000-0000A9170000}"/>
    <cellStyle name="Normal 5 2 2 3 2 2 6 2" xfId="6857" xr:uid="{00000000-0005-0000-0000-0000AA170000}"/>
    <cellStyle name="Normal 5 2 2 3 2 2 6 2 2" xfId="15352" xr:uid="{911366F0-4800-42F4-9B48-5E123430159C}"/>
    <cellStyle name="Normal 5 2 2 3 2 2 6 3" xfId="11139" xr:uid="{55BE0BB8-1788-4A56-89F0-12F559518BAA}"/>
    <cellStyle name="Normal 5 2 2 3 2 2 7" xfId="4792" xr:uid="{00000000-0005-0000-0000-0000AB170000}"/>
    <cellStyle name="Normal 5 2 2 3 2 2 7 2" xfId="13287" xr:uid="{199BCA1E-F640-4476-9746-D0FCDB34B92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844" xr:uid="{ACC7527F-BA4A-4BD2-88D1-2FE56CA8827F}"/>
    <cellStyle name="Normal 5 2 2 3 2 3 2 3" xfId="11631" xr:uid="{57DDF08D-CB52-48C9-89DF-4C8B078D2064}"/>
    <cellStyle name="Normal 5 2 2 3 2 3 3" xfId="5204" xr:uid="{00000000-0005-0000-0000-0000AF170000}"/>
    <cellStyle name="Normal 5 2 2 3 2 3 3 2" xfId="13699" xr:uid="{0AC32636-136F-4738-AFA1-54D2DC15D0DC}"/>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57" xr:uid="{8B2DF943-6B13-4264-8F57-B91786ADC71F}"/>
    <cellStyle name="Normal 5 2 2 3 2 4 2 3" xfId="12044" xr:uid="{DA05D6B2-B312-41AA-9B0E-B96DCA340C6C}"/>
    <cellStyle name="Normal 5 2 2 3 2 4 3" xfId="5617" xr:uid="{00000000-0005-0000-0000-0000B3170000}"/>
    <cellStyle name="Normal 5 2 2 3 2 4 3 2" xfId="14112" xr:uid="{D58020CA-D5D9-410C-8E06-DB7394FB706C}"/>
    <cellStyle name="Normal 5 2 2 3 2 4 4" xfId="9899" xr:uid="{CAA11760-78AD-4088-9C84-82B963E80926}"/>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70" xr:uid="{B0E95E4C-38AB-4384-8516-9B0A099AEF19}"/>
    <cellStyle name="Normal 5 2 2 3 2 5 2 3" xfId="12457" xr:uid="{5DCBD981-1FA9-445D-9C8F-1959AA09CCD0}"/>
    <cellStyle name="Normal 5 2 2 3 2 5 3" xfId="6030" xr:uid="{00000000-0005-0000-0000-0000B7170000}"/>
    <cellStyle name="Normal 5 2 2 3 2 5 3 2" xfId="14525" xr:uid="{8D1F2335-F946-4A2A-80A5-31D2D96E3870}"/>
    <cellStyle name="Normal 5 2 2 3 2 5 4" xfId="10312" xr:uid="{D5DC457B-BC95-4410-B5EA-516FB274346B}"/>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83" xr:uid="{F2619937-D74A-40FE-A749-5D5BF7329DFD}"/>
    <cellStyle name="Normal 5 2 2 3 2 6 2 3" xfId="12870" xr:uid="{295D3252-11D9-40F3-B298-DC43417DFE15}"/>
    <cellStyle name="Normal 5 2 2 3 2 6 3" xfId="6443" xr:uid="{00000000-0005-0000-0000-0000BB170000}"/>
    <cellStyle name="Normal 5 2 2 3 2 6 3 2" xfId="14938" xr:uid="{F5712962-12CF-4D85-B9FC-3C06FA86CF0A}"/>
    <cellStyle name="Normal 5 2 2 3 2 6 4" xfId="10725" xr:uid="{08F42D62-7A65-4337-B846-8AE8C187B830}"/>
    <cellStyle name="Normal 5 2 2 3 2 7" xfId="2573" xr:uid="{00000000-0005-0000-0000-0000BC170000}"/>
    <cellStyle name="Normal 5 2 2 3 2 7 2" xfId="6856" xr:uid="{00000000-0005-0000-0000-0000BD170000}"/>
    <cellStyle name="Normal 5 2 2 3 2 7 2 2" xfId="15351" xr:uid="{BF60E5E9-DE47-4F64-A557-C269F90E3E83}"/>
    <cellStyle name="Normal 5 2 2 3 2 7 3" xfId="11138" xr:uid="{9A665669-34C0-43AA-AE70-FC9A4B5245DC}"/>
    <cellStyle name="Normal 5 2 2 3 2 8" xfId="4791" xr:uid="{00000000-0005-0000-0000-0000BE170000}"/>
    <cellStyle name="Normal 5 2 2 3 2 8 2" xfId="13286" xr:uid="{0E521680-C322-44CD-8070-8BEAD55F737E}"/>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46" xr:uid="{5C10C38E-485F-4AD0-860C-442E5CACF700}"/>
    <cellStyle name="Normal 5 2 2 3 3 2 2 3" xfId="11633" xr:uid="{D1894D4B-C685-4B35-A61F-9F1BCE2D0D8F}"/>
    <cellStyle name="Normal 5 2 2 3 3 2 3" xfId="5206" xr:uid="{00000000-0005-0000-0000-0000C3170000}"/>
    <cellStyle name="Normal 5 2 2 3 3 2 3 2" xfId="13701" xr:uid="{A95E3406-1D1D-4589-9E93-7763DAEC8733}"/>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59" xr:uid="{660AC837-FE11-4D67-9712-81FEA7BC5B57}"/>
    <cellStyle name="Normal 5 2 2 3 3 3 2 3" xfId="12046" xr:uid="{3BBD5428-1170-4727-9E41-DC78247AE0EA}"/>
    <cellStyle name="Normal 5 2 2 3 3 3 3" xfId="5619" xr:uid="{00000000-0005-0000-0000-0000C7170000}"/>
    <cellStyle name="Normal 5 2 2 3 3 3 3 2" xfId="14114" xr:uid="{465D9B79-73F9-4D2E-99AF-AED325C482A2}"/>
    <cellStyle name="Normal 5 2 2 3 3 3 4" xfId="9901" xr:uid="{12E6D540-AD0B-47CB-9167-5889E6A722C9}"/>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72" xr:uid="{228A73AF-F2B9-4546-829B-AA240C88FC82}"/>
    <cellStyle name="Normal 5 2 2 3 3 4 2 3" xfId="12459" xr:uid="{3293F426-9F56-42E2-ADE5-B7CF63FC0205}"/>
    <cellStyle name="Normal 5 2 2 3 3 4 3" xfId="6032" xr:uid="{00000000-0005-0000-0000-0000CB170000}"/>
    <cellStyle name="Normal 5 2 2 3 3 4 3 2" xfId="14527" xr:uid="{C219AC35-5A8A-4B8D-81D9-A35165577090}"/>
    <cellStyle name="Normal 5 2 2 3 3 4 4" xfId="10314" xr:uid="{4324CB01-C817-4A76-8843-3FC1657CAFB3}"/>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85" xr:uid="{EC9A0373-8C2E-4B68-947D-D4E059757913}"/>
    <cellStyle name="Normal 5 2 2 3 3 5 2 3" xfId="12872" xr:uid="{6596F2AA-614E-431C-9D9F-04FFBA27B654}"/>
    <cellStyle name="Normal 5 2 2 3 3 5 3" xfId="6445" xr:uid="{00000000-0005-0000-0000-0000CF170000}"/>
    <cellStyle name="Normal 5 2 2 3 3 5 3 2" xfId="14940" xr:uid="{5E5D7B3E-6EC5-4173-A71D-23C47C246AE5}"/>
    <cellStyle name="Normal 5 2 2 3 3 5 4" xfId="10727" xr:uid="{CB67D338-C832-4444-AD5C-D25E89319541}"/>
    <cellStyle name="Normal 5 2 2 3 3 6" xfId="2575" xr:uid="{00000000-0005-0000-0000-0000D0170000}"/>
    <cellStyle name="Normal 5 2 2 3 3 6 2" xfId="6858" xr:uid="{00000000-0005-0000-0000-0000D1170000}"/>
    <cellStyle name="Normal 5 2 2 3 3 6 2 2" xfId="15353" xr:uid="{D51D5E78-3431-402A-9400-15219CEB807B}"/>
    <cellStyle name="Normal 5 2 2 3 3 6 3" xfId="11140" xr:uid="{9F2ADB99-DA4E-48A1-8C38-731E8194BE4F}"/>
    <cellStyle name="Normal 5 2 2 3 3 7" xfId="4793" xr:uid="{00000000-0005-0000-0000-0000D2170000}"/>
    <cellStyle name="Normal 5 2 2 3 3 7 2" xfId="13288" xr:uid="{47DD6429-A106-419E-BA1B-6181EDA7A501}"/>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843" xr:uid="{F82354D7-8794-4050-AA3E-FBE891C43124}"/>
    <cellStyle name="Normal 5 2 2 3 4 2 3" xfId="11630" xr:uid="{3275DE3D-198E-4A62-B683-F12E17B4A661}"/>
    <cellStyle name="Normal 5 2 2 3 4 3" xfId="5203" xr:uid="{00000000-0005-0000-0000-0000D6170000}"/>
    <cellStyle name="Normal 5 2 2 3 4 3 2" xfId="13698" xr:uid="{FA5DBA76-81C1-482A-B927-1C54C94E4CCB}"/>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56" xr:uid="{19DDCF2C-2BEF-4434-B219-580780CE4A4F}"/>
    <cellStyle name="Normal 5 2 2 3 5 2 3" xfId="12043" xr:uid="{4EE36D7A-C5E4-4485-914B-3C74143D7F14}"/>
    <cellStyle name="Normal 5 2 2 3 5 3" xfId="5616" xr:uid="{00000000-0005-0000-0000-0000DA170000}"/>
    <cellStyle name="Normal 5 2 2 3 5 3 2" xfId="14111" xr:uid="{F7CCE9F6-9595-4A0E-89E6-2E8345868EB3}"/>
    <cellStyle name="Normal 5 2 2 3 5 4" xfId="9898" xr:uid="{650535A2-462F-42F3-BF27-25365C7D5E60}"/>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69" xr:uid="{D376E3C3-A6A8-42CA-B879-3E727F7FE04F}"/>
    <cellStyle name="Normal 5 2 2 3 6 2 3" xfId="12456" xr:uid="{28742819-A702-4409-ADB1-58D356C37A44}"/>
    <cellStyle name="Normal 5 2 2 3 6 3" xfId="6029" xr:uid="{00000000-0005-0000-0000-0000DE170000}"/>
    <cellStyle name="Normal 5 2 2 3 6 3 2" xfId="14524" xr:uid="{4B201367-E226-43D4-934A-DBBA37D4962B}"/>
    <cellStyle name="Normal 5 2 2 3 6 4" xfId="10311" xr:uid="{9AC50E85-DD31-47BF-A7D6-3E14A1FCFF55}"/>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82" xr:uid="{8F0495AA-4225-48EC-9684-66BA47F2FB66}"/>
    <cellStyle name="Normal 5 2 2 3 7 2 3" xfId="12869" xr:uid="{99B78901-85C7-4CC2-A96A-711D3D5CC762}"/>
    <cellStyle name="Normal 5 2 2 3 7 3" xfId="6442" xr:uid="{00000000-0005-0000-0000-0000E2170000}"/>
    <cellStyle name="Normal 5 2 2 3 7 3 2" xfId="14937" xr:uid="{F4433B71-4451-4C60-BABF-DF6FD6C9240A}"/>
    <cellStyle name="Normal 5 2 2 3 7 4" xfId="10724" xr:uid="{BFB23FF0-14FE-4A55-A352-3F5F3A75E4C0}"/>
    <cellStyle name="Normal 5 2 2 3 8" xfId="2572" xr:uid="{00000000-0005-0000-0000-0000E3170000}"/>
    <cellStyle name="Normal 5 2 2 3 8 2" xfId="6855" xr:uid="{00000000-0005-0000-0000-0000E4170000}"/>
    <cellStyle name="Normal 5 2 2 3 8 2 2" xfId="15350" xr:uid="{3EC7669F-0B55-4CF0-9520-5E8595902384}"/>
    <cellStyle name="Normal 5 2 2 3 8 3" xfId="11137" xr:uid="{52DD5D25-5203-4ACA-97D9-B258FD70DB65}"/>
    <cellStyle name="Normal 5 2 2 3 9" xfId="4790" xr:uid="{00000000-0005-0000-0000-0000E5170000}"/>
    <cellStyle name="Normal 5 2 2 3 9 2" xfId="13285" xr:uid="{7CCA2F06-5227-4CC0-A9EE-EEEE6510F8BC}"/>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48" xr:uid="{13D31080-C136-481D-AFE3-AB3D78EE3DFF}"/>
    <cellStyle name="Normal 5 2 2 4 2 2 2 3" xfId="11635" xr:uid="{40E1D723-6503-4404-9C41-AF1FDCC6587F}"/>
    <cellStyle name="Normal 5 2 2 4 2 2 3" xfId="5208" xr:uid="{00000000-0005-0000-0000-0000EB170000}"/>
    <cellStyle name="Normal 5 2 2 4 2 2 3 2" xfId="13703" xr:uid="{5F8C4661-6FC2-402F-A554-070D3BE8787B}"/>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61" xr:uid="{FD3F69F2-A02F-41BB-8245-416A83FA93E3}"/>
    <cellStyle name="Normal 5 2 2 4 2 3 2 3" xfId="12048" xr:uid="{0B165C2A-34EF-486F-988C-7D507A763332}"/>
    <cellStyle name="Normal 5 2 2 4 2 3 3" xfId="5621" xr:uid="{00000000-0005-0000-0000-0000EF170000}"/>
    <cellStyle name="Normal 5 2 2 4 2 3 3 2" xfId="14116" xr:uid="{D290AFEE-0A5F-447F-9737-E7D9E3A66825}"/>
    <cellStyle name="Normal 5 2 2 4 2 3 4" xfId="9903" xr:uid="{C4CD3606-014A-49EC-B7B9-284215D1A962}"/>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74" xr:uid="{35973FAE-9985-4E06-81B6-02F3C0304D40}"/>
    <cellStyle name="Normal 5 2 2 4 2 4 2 3" xfId="12461" xr:uid="{13C1CC4F-6E8F-4D36-8487-272BB9A1FFBC}"/>
    <cellStyle name="Normal 5 2 2 4 2 4 3" xfId="6034" xr:uid="{00000000-0005-0000-0000-0000F3170000}"/>
    <cellStyle name="Normal 5 2 2 4 2 4 3 2" xfId="14529" xr:uid="{0A44C7DD-54A6-4F50-A63E-23C99E689BB0}"/>
    <cellStyle name="Normal 5 2 2 4 2 4 4" xfId="10316" xr:uid="{C3852489-EA96-463B-B134-3CAC3541755C}"/>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87" xr:uid="{C282D72C-173B-4222-8869-C7345340CAA1}"/>
    <cellStyle name="Normal 5 2 2 4 2 5 2 3" xfId="12874" xr:uid="{EFD43563-AC61-4F34-9DBA-13E7A1570AC3}"/>
    <cellStyle name="Normal 5 2 2 4 2 5 3" xfId="6447" xr:uid="{00000000-0005-0000-0000-0000F7170000}"/>
    <cellStyle name="Normal 5 2 2 4 2 5 3 2" xfId="14942" xr:uid="{0007ECF1-EB0E-487A-8EB2-876FC56A9522}"/>
    <cellStyle name="Normal 5 2 2 4 2 5 4" xfId="10729" xr:uid="{1F361FEF-041C-49B4-81AF-18611C3D20FE}"/>
    <cellStyle name="Normal 5 2 2 4 2 6" xfId="2577" xr:uid="{00000000-0005-0000-0000-0000F8170000}"/>
    <cellStyle name="Normal 5 2 2 4 2 6 2" xfId="6860" xr:uid="{00000000-0005-0000-0000-0000F9170000}"/>
    <cellStyle name="Normal 5 2 2 4 2 6 2 2" xfId="15355" xr:uid="{24AA2018-A00E-46B1-A144-26F2FDA1D5D1}"/>
    <cellStyle name="Normal 5 2 2 4 2 6 3" xfId="11142" xr:uid="{E2E2F131-93CD-4E19-B228-DC2914FABDED}"/>
    <cellStyle name="Normal 5 2 2 4 2 7" xfId="4795" xr:uid="{00000000-0005-0000-0000-0000FA170000}"/>
    <cellStyle name="Normal 5 2 2 4 2 7 2" xfId="13290" xr:uid="{E8DF01A8-C5CE-4F3B-ACF5-A8F034D5BF7B}"/>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47" xr:uid="{CF63D8FF-231B-4095-822A-4296B71C7EA2}"/>
    <cellStyle name="Normal 5 2 2 4 3 2 3" xfId="11634" xr:uid="{02990AB9-01B8-4141-978A-D2D712FC96EA}"/>
    <cellStyle name="Normal 5 2 2 4 3 3" xfId="5207" xr:uid="{00000000-0005-0000-0000-0000FE170000}"/>
    <cellStyle name="Normal 5 2 2 4 3 3 2" xfId="13702" xr:uid="{5305D2D0-7316-4088-BD67-5686C8EB20A8}"/>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60" xr:uid="{6E675F89-1D34-48C6-9487-2C1C8248728F}"/>
    <cellStyle name="Normal 5 2 2 4 4 2 3" xfId="12047" xr:uid="{AB4E8928-DEDE-4C9B-9118-DC2EE33602B7}"/>
    <cellStyle name="Normal 5 2 2 4 4 3" xfId="5620" xr:uid="{00000000-0005-0000-0000-000002180000}"/>
    <cellStyle name="Normal 5 2 2 4 4 3 2" xfId="14115" xr:uid="{502CBAA9-2F2E-4EAE-92ED-A5CB575F02DD}"/>
    <cellStyle name="Normal 5 2 2 4 4 4" xfId="9902" xr:uid="{5BD87260-F951-4D39-B01A-ECECBBEC70F1}"/>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73" xr:uid="{EA72DB42-05D2-4444-A4EC-6E9015CC4897}"/>
    <cellStyle name="Normal 5 2 2 4 5 2 3" xfId="12460" xr:uid="{682EF8F7-6C65-4579-9E19-C1BA0FB049B5}"/>
    <cellStyle name="Normal 5 2 2 4 5 3" xfId="6033" xr:uid="{00000000-0005-0000-0000-000006180000}"/>
    <cellStyle name="Normal 5 2 2 4 5 3 2" xfId="14528" xr:uid="{668A894B-EA41-4CF6-ACE1-050F6C533026}"/>
    <cellStyle name="Normal 5 2 2 4 5 4" xfId="10315" xr:uid="{1C0F87D6-0212-46EA-82D8-319ACC34D5E5}"/>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86" xr:uid="{B649BFC7-3EDD-4A25-8F36-070B7DA234E2}"/>
    <cellStyle name="Normal 5 2 2 4 6 2 3" xfId="12873" xr:uid="{3206FB4F-C249-4AEF-8C4A-941E3CDD1015}"/>
    <cellStyle name="Normal 5 2 2 4 6 3" xfId="6446" xr:uid="{00000000-0005-0000-0000-00000A180000}"/>
    <cellStyle name="Normal 5 2 2 4 6 3 2" xfId="14941" xr:uid="{9B861188-4647-42FB-96A9-258EB40B5D1A}"/>
    <cellStyle name="Normal 5 2 2 4 6 4" xfId="10728" xr:uid="{ED75A475-EB57-448D-BE02-B3BDA9F75D62}"/>
    <cellStyle name="Normal 5 2 2 4 7" xfId="2576" xr:uid="{00000000-0005-0000-0000-00000B180000}"/>
    <cellStyle name="Normal 5 2 2 4 7 2" xfId="6859" xr:uid="{00000000-0005-0000-0000-00000C180000}"/>
    <cellStyle name="Normal 5 2 2 4 7 2 2" xfId="15354" xr:uid="{D14B6115-666F-46CE-8081-B3363484EF07}"/>
    <cellStyle name="Normal 5 2 2 4 7 3" xfId="11141" xr:uid="{1CC3BB8A-B70D-4F15-8D9B-8A32BB107C7A}"/>
    <cellStyle name="Normal 5 2 2 4 8" xfId="4794" xr:uid="{00000000-0005-0000-0000-00000D180000}"/>
    <cellStyle name="Normal 5 2 2 4 8 2" xfId="13289" xr:uid="{ADAA2EF0-7E4D-4E55-846E-EDEE5239732F}"/>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49" xr:uid="{5832F84F-537A-4072-BB50-157E0723536E}"/>
    <cellStyle name="Normal 5 2 2 5 2 2 3" xfId="11636" xr:uid="{EBE1FFCE-071F-4E03-88EF-24F7C9B27B4E}"/>
    <cellStyle name="Normal 5 2 2 5 2 3" xfId="5209" xr:uid="{00000000-0005-0000-0000-000012180000}"/>
    <cellStyle name="Normal 5 2 2 5 2 3 2" xfId="13704" xr:uid="{6E56EC9D-B362-4057-A522-D9F65CCDBE24}"/>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62" xr:uid="{9542D232-760C-4D58-9C07-6B58FC515472}"/>
    <cellStyle name="Normal 5 2 2 5 3 2 3" xfId="12049" xr:uid="{87BAECBA-6663-426E-9933-D7329068C7CB}"/>
    <cellStyle name="Normal 5 2 2 5 3 3" xfId="5622" xr:uid="{00000000-0005-0000-0000-000016180000}"/>
    <cellStyle name="Normal 5 2 2 5 3 3 2" xfId="14117" xr:uid="{6981323A-3D9B-4E95-BAA3-451FF2376CF9}"/>
    <cellStyle name="Normal 5 2 2 5 3 4" xfId="9904" xr:uid="{A748126F-ADA6-4089-962D-5F4F8469B7FF}"/>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75" xr:uid="{DD5EB0B1-2095-46B9-883B-DB3832E250B1}"/>
    <cellStyle name="Normal 5 2 2 5 4 2 3" xfId="12462" xr:uid="{D5E003E2-AA71-4CB8-8C77-7CDD579CC73D}"/>
    <cellStyle name="Normal 5 2 2 5 4 3" xfId="6035" xr:uid="{00000000-0005-0000-0000-00001A180000}"/>
    <cellStyle name="Normal 5 2 2 5 4 3 2" xfId="14530" xr:uid="{A8D57EBF-86CC-485C-87A3-7AF5D85AEDB9}"/>
    <cellStyle name="Normal 5 2 2 5 4 4" xfId="10317" xr:uid="{EBFA1AC2-FC5A-4E83-AD1C-731608E059C8}"/>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88" xr:uid="{60656411-0F94-4053-BD8D-9BA7C34C9C11}"/>
    <cellStyle name="Normal 5 2 2 5 5 2 3" xfId="12875" xr:uid="{A1F5BC11-FA7B-4FE6-83F1-9ACFCE593246}"/>
    <cellStyle name="Normal 5 2 2 5 5 3" xfId="6448" xr:uid="{00000000-0005-0000-0000-00001E180000}"/>
    <cellStyle name="Normal 5 2 2 5 5 3 2" xfId="14943" xr:uid="{02E0EB46-7232-4A92-95EE-47D31DC85527}"/>
    <cellStyle name="Normal 5 2 2 5 5 4" xfId="10730" xr:uid="{90EB72CD-AD18-4C6D-8618-D5D28CFA2FCF}"/>
    <cellStyle name="Normal 5 2 2 5 6" xfId="2578" xr:uid="{00000000-0005-0000-0000-00001F180000}"/>
    <cellStyle name="Normal 5 2 2 5 6 2" xfId="6861" xr:uid="{00000000-0005-0000-0000-000020180000}"/>
    <cellStyle name="Normal 5 2 2 5 6 2 2" xfId="15356" xr:uid="{C453FADB-4050-4D35-A2D5-DCC8C2914891}"/>
    <cellStyle name="Normal 5 2 2 5 6 3" xfId="11143" xr:uid="{5A73C72D-41A0-46A4-B6D3-CEE5B716F0DD}"/>
    <cellStyle name="Normal 5 2 2 5 7" xfId="4796" xr:uid="{00000000-0005-0000-0000-000021180000}"/>
    <cellStyle name="Normal 5 2 2 5 7 2" xfId="13291" xr:uid="{EB9E89D7-A6C8-4BB3-ACFD-AE2279288493}"/>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2 2 2" xfId="15834" xr:uid="{B7836E8D-3C36-418A-B2E8-9A2E778651AC}"/>
    <cellStyle name="Normal 5 2 2 6 2 3" xfId="11621" xr:uid="{B294E660-D1FD-409F-A4A8-A54BE2946E2C}"/>
    <cellStyle name="Normal 5 2 2 6 3" xfId="5194" xr:uid="{00000000-0005-0000-0000-000025180000}"/>
    <cellStyle name="Normal 5 2 2 6 3 2" xfId="13689" xr:uid="{B1BBD709-843C-42F8-A2C4-3691998F3B34}"/>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2 2 2" xfId="16247" xr:uid="{E8BB9D8C-6583-4885-B471-C9D8194D3449}"/>
    <cellStyle name="Normal 5 2 2 7 2 3" xfId="12034" xr:uid="{36EA15E0-C77A-4294-B882-B9DA980B8B5B}"/>
    <cellStyle name="Normal 5 2 2 7 3" xfId="5607" xr:uid="{00000000-0005-0000-0000-000029180000}"/>
    <cellStyle name="Normal 5 2 2 7 3 2" xfId="14102" xr:uid="{ECE445AE-74F2-4B38-89FF-3F4044BB7A35}"/>
    <cellStyle name="Normal 5 2 2 7 4" xfId="9889" xr:uid="{868A2D05-DC41-4E4D-BCAB-768CF6D33955}"/>
    <cellStyle name="Normal 5 2 2 8" xfId="1713" xr:uid="{00000000-0005-0000-0000-00002A180000}"/>
    <cellStyle name="Normal 5 2 2 8 2" xfId="3943" xr:uid="{00000000-0005-0000-0000-00002B180000}"/>
    <cellStyle name="Normal 5 2 2 8 2 2" xfId="8165" xr:uid="{00000000-0005-0000-0000-00002C180000}"/>
    <cellStyle name="Normal 5 2 2 8 2 2 2" xfId="16660" xr:uid="{01E8CE7F-D872-4893-AF96-9359D305343E}"/>
    <cellStyle name="Normal 5 2 2 8 2 3" xfId="12447" xr:uid="{4501A838-26E2-46B6-B98E-7B89277714E5}"/>
    <cellStyle name="Normal 5 2 2 8 3" xfId="6020" xr:uid="{00000000-0005-0000-0000-00002D180000}"/>
    <cellStyle name="Normal 5 2 2 8 3 2" xfId="14515" xr:uid="{98888396-71C2-4B04-B94B-FA47ABAD622D}"/>
    <cellStyle name="Normal 5 2 2 8 4" xfId="10302" xr:uid="{7ABDCA79-A0F8-4B19-93A5-8FCB688A49B2}"/>
    <cellStyle name="Normal 5 2 2 9" xfId="2127" xr:uid="{00000000-0005-0000-0000-00002E180000}"/>
    <cellStyle name="Normal 5 2 2 9 2" xfId="4356" xr:uid="{00000000-0005-0000-0000-00002F180000}"/>
    <cellStyle name="Normal 5 2 2 9 2 2" xfId="8578" xr:uid="{00000000-0005-0000-0000-000030180000}"/>
    <cellStyle name="Normal 5 2 2 9 2 2 2" xfId="17073" xr:uid="{88D42B83-1F34-447F-89AE-4898972F9080}"/>
    <cellStyle name="Normal 5 2 2 9 2 3" xfId="12860" xr:uid="{AE9BE98B-932F-4DEA-9019-8D978E197ABA}"/>
    <cellStyle name="Normal 5 2 2 9 3" xfId="6433" xr:uid="{00000000-0005-0000-0000-000031180000}"/>
    <cellStyle name="Normal 5 2 2 9 3 2" xfId="14928" xr:uid="{D1383C39-F867-4515-AC83-BF4C4911AF28}"/>
    <cellStyle name="Normal 5 2 2 9 4" xfId="10715" xr:uid="{9BA80093-255A-4376-95D6-960D68C50230}"/>
    <cellStyle name="Normal 5 2 3" xfId="424" xr:uid="{00000000-0005-0000-0000-000032180000}"/>
    <cellStyle name="Normal 5 2 3 10" xfId="4797" xr:uid="{00000000-0005-0000-0000-000033180000}"/>
    <cellStyle name="Normal 5 2 3 10 2" xfId="13292" xr:uid="{76B34801-73E1-424C-A5F6-72F28F69015A}"/>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53" xr:uid="{4986541A-FE9A-41B1-874B-66EE074A5C87}"/>
    <cellStyle name="Normal 5 2 3 2 2 2 2 2 3" xfId="11640" xr:uid="{5EC28672-1D09-4AA9-9275-185ACD886CB9}"/>
    <cellStyle name="Normal 5 2 3 2 2 2 2 3" xfId="5213" xr:uid="{00000000-0005-0000-0000-00003A180000}"/>
    <cellStyle name="Normal 5 2 3 2 2 2 2 3 2" xfId="13708" xr:uid="{90C3992D-795D-4ADB-9EE7-6AC80C00B81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66" xr:uid="{AC391CD5-2854-421D-A456-4A411789487C}"/>
    <cellStyle name="Normal 5 2 3 2 2 2 3 2 3" xfId="12053" xr:uid="{184BEE4E-992B-433B-84A0-73406F3BC50D}"/>
    <cellStyle name="Normal 5 2 3 2 2 2 3 3" xfId="5626" xr:uid="{00000000-0005-0000-0000-00003E180000}"/>
    <cellStyle name="Normal 5 2 3 2 2 2 3 3 2" xfId="14121" xr:uid="{9B959EC6-6D05-41C1-B41B-2AAD007AE247}"/>
    <cellStyle name="Normal 5 2 3 2 2 2 3 4" xfId="9908" xr:uid="{ACDFCA68-73F3-4918-9091-33F3F24CB355}"/>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79" xr:uid="{04188902-59D6-439A-9E92-A68EA7BEBC08}"/>
    <cellStyle name="Normal 5 2 3 2 2 2 4 2 3" xfId="12466" xr:uid="{848FE7F1-D1B7-41CD-869D-DFD4951D3325}"/>
    <cellStyle name="Normal 5 2 3 2 2 2 4 3" xfId="6039" xr:uid="{00000000-0005-0000-0000-000042180000}"/>
    <cellStyle name="Normal 5 2 3 2 2 2 4 3 2" xfId="14534" xr:uid="{FAD3F26D-4F6F-4416-9CD7-03AF235AC2BC}"/>
    <cellStyle name="Normal 5 2 3 2 2 2 4 4" xfId="10321" xr:uid="{8046275B-A9D8-4367-8C2A-394B62A051FD}"/>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92" xr:uid="{B95070DE-58FE-4C44-B04E-3C9561B0DC9E}"/>
    <cellStyle name="Normal 5 2 3 2 2 2 5 2 3" xfId="12879" xr:uid="{CBC6E1C2-095E-481C-8254-DD53335469A0}"/>
    <cellStyle name="Normal 5 2 3 2 2 2 5 3" xfId="6452" xr:uid="{00000000-0005-0000-0000-000046180000}"/>
    <cellStyle name="Normal 5 2 3 2 2 2 5 3 2" xfId="14947" xr:uid="{7ADC9EEA-3365-4B37-BBB0-22064BFF1B87}"/>
    <cellStyle name="Normal 5 2 3 2 2 2 5 4" xfId="10734" xr:uid="{3F4E9600-9BD0-4BBA-9730-159860E586A3}"/>
    <cellStyle name="Normal 5 2 3 2 2 2 6" xfId="2582" xr:uid="{00000000-0005-0000-0000-000047180000}"/>
    <cellStyle name="Normal 5 2 3 2 2 2 6 2" xfId="6865" xr:uid="{00000000-0005-0000-0000-000048180000}"/>
    <cellStyle name="Normal 5 2 3 2 2 2 6 2 2" xfId="15360" xr:uid="{97CA13CC-BF84-4A4F-B2C5-0B4422A00ABC}"/>
    <cellStyle name="Normal 5 2 3 2 2 2 6 3" xfId="11147" xr:uid="{E1866B90-2A1C-4B17-8B74-60754F896807}"/>
    <cellStyle name="Normal 5 2 3 2 2 2 7" xfId="4800" xr:uid="{00000000-0005-0000-0000-000049180000}"/>
    <cellStyle name="Normal 5 2 3 2 2 2 7 2" xfId="13295" xr:uid="{A76834A7-F9F8-4D50-9F2C-E811818D33B4}"/>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52" xr:uid="{9BE8BABF-56F1-4D2A-9E03-B432CEE6C13A}"/>
    <cellStyle name="Normal 5 2 3 2 2 3 2 3" xfId="11639" xr:uid="{A63FDB41-0576-498C-B6F4-95F9FEB2342B}"/>
    <cellStyle name="Normal 5 2 3 2 2 3 3" xfId="5212" xr:uid="{00000000-0005-0000-0000-00004D180000}"/>
    <cellStyle name="Normal 5 2 3 2 2 3 3 2" xfId="13707" xr:uid="{4C3C8DF5-BB7A-49D8-B2FA-7A746498BF4D}"/>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65" xr:uid="{8F8D89C1-1D70-46C6-9995-9158EF8EBFBD}"/>
    <cellStyle name="Normal 5 2 3 2 2 4 2 3" xfId="12052" xr:uid="{C4703EA8-3C71-4FFE-A211-79AA83AF1911}"/>
    <cellStyle name="Normal 5 2 3 2 2 4 3" xfId="5625" xr:uid="{00000000-0005-0000-0000-000051180000}"/>
    <cellStyle name="Normal 5 2 3 2 2 4 3 2" xfId="14120" xr:uid="{9B772786-A3D2-455F-BAC7-961DBAC71B70}"/>
    <cellStyle name="Normal 5 2 3 2 2 4 4" xfId="9907" xr:uid="{4C690BE9-06D5-413E-B272-0F356D5EB907}"/>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78" xr:uid="{14A9F6B0-390E-462D-AB13-23E3E4E7518F}"/>
    <cellStyle name="Normal 5 2 3 2 2 5 2 3" xfId="12465" xr:uid="{FDAC35FD-0FC2-4BA5-B420-CA62C1D8D741}"/>
    <cellStyle name="Normal 5 2 3 2 2 5 3" xfId="6038" xr:uid="{00000000-0005-0000-0000-000055180000}"/>
    <cellStyle name="Normal 5 2 3 2 2 5 3 2" xfId="14533" xr:uid="{D316DEB6-C49E-4F42-ABF2-9B5FD6303189}"/>
    <cellStyle name="Normal 5 2 3 2 2 5 4" xfId="10320" xr:uid="{B8C83EF2-18DA-49EA-B5C9-B4929D76E45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91" xr:uid="{CF5FFF5B-CA26-45DC-9FA8-49362E18F917}"/>
    <cellStyle name="Normal 5 2 3 2 2 6 2 3" xfId="12878" xr:uid="{C1118B2B-59F8-4D2F-A87B-E5DA2B2155A1}"/>
    <cellStyle name="Normal 5 2 3 2 2 6 3" xfId="6451" xr:uid="{00000000-0005-0000-0000-000059180000}"/>
    <cellStyle name="Normal 5 2 3 2 2 6 3 2" xfId="14946" xr:uid="{532E91FA-84D7-460E-845D-49BDA0E1DDC4}"/>
    <cellStyle name="Normal 5 2 3 2 2 6 4" xfId="10733" xr:uid="{D03E5C01-7E5E-49FB-9298-86337456E7F5}"/>
    <cellStyle name="Normal 5 2 3 2 2 7" xfId="2581" xr:uid="{00000000-0005-0000-0000-00005A180000}"/>
    <cellStyle name="Normal 5 2 3 2 2 7 2" xfId="6864" xr:uid="{00000000-0005-0000-0000-00005B180000}"/>
    <cellStyle name="Normal 5 2 3 2 2 7 2 2" xfId="15359" xr:uid="{2309ED32-AB53-4175-B566-907F52478F9F}"/>
    <cellStyle name="Normal 5 2 3 2 2 7 3" xfId="11146" xr:uid="{3E4C955A-7C5B-4ABE-B42B-A19066E59D61}"/>
    <cellStyle name="Normal 5 2 3 2 2 8" xfId="4799" xr:uid="{00000000-0005-0000-0000-00005C180000}"/>
    <cellStyle name="Normal 5 2 3 2 2 8 2" xfId="13294" xr:uid="{3381B526-D789-4401-94A2-7D121AC6D243}"/>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54" xr:uid="{79970247-1BE6-4FE1-B844-0907BFBC296D}"/>
    <cellStyle name="Normal 5 2 3 2 3 2 2 3" xfId="11641" xr:uid="{F764512F-F726-4C56-BE74-D0CA6D876195}"/>
    <cellStyle name="Normal 5 2 3 2 3 2 3" xfId="5214" xr:uid="{00000000-0005-0000-0000-000061180000}"/>
    <cellStyle name="Normal 5 2 3 2 3 2 3 2" xfId="13709" xr:uid="{004112EE-B69D-42FA-AE62-331050DFB515}"/>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67" xr:uid="{689EF2AA-BA5F-476D-8AF4-AC601C7E77E6}"/>
    <cellStyle name="Normal 5 2 3 2 3 3 2 3" xfId="12054" xr:uid="{6E5F6771-7013-44B3-81EB-E897A78DFDBE}"/>
    <cellStyle name="Normal 5 2 3 2 3 3 3" xfId="5627" xr:uid="{00000000-0005-0000-0000-000065180000}"/>
    <cellStyle name="Normal 5 2 3 2 3 3 3 2" xfId="14122" xr:uid="{13EDDA79-FEC4-468B-8889-C0F2BCFE67C4}"/>
    <cellStyle name="Normal 5 2 3 2 3 3 4" xfId="9909" xr:uid="{EBC525AB-CC08-4FFF-A87C-8145120D0B6D}"/>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80" xr:uid="{5B6F8575-7A5D-4D7B-B180-201D78BB6B0B}"/>
    <cellStyle name="Normal 5 2 3 2 3 4 2 3" xfId="12467" xr:uid="{9D933BA3-B87F-4352-B354-F9523213F209}"/>
    <cellStyle name="Normal 5 2 3 2 3 4 3" xfId="6040" xr:uid="{00000000-0005-0000-0000-000069180000}"/>
    <cellStyle name="Normal 5 2 3 2 3 4 3 2" xfId="14535" xr:uid="{06D5A807-5418-4983-B505-80C240048555}"/>
    <cellStyle name="Normal 5 2 3 2 3 4 4" xfId="10322" xr:uid="{E3850505-F5E3-49C5-AD3B-17615FBE6E48}"/>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93" xr:uid="{B7051E25-2C23-43BF-914D-0882CD148CE5}"/>
    <cellStyle name="Normal 5 2 3 2 3 5 2 3" xfId="12880" xr:uid="{B19D0159-6B35-487A-8465-CA56D08F2E43}"/>
    <cellStyle name="Normal 5 2 3 2 3 5 3" xfId="6453" xr:uid="{00000000-0005-0000-0000-00006D180000}"/>
    <cellStyle name="Normal 5 2 3 2 3 5 3 2" xfId="14948" xr:uid="{23B2BA0B-3FDF-41D4-936A-FC0430C0DD29}"/>
    <cellStyle name="Normal 5 2 3 2 3 5 4" xfId="10735" xr:uid="{25AC34C4-860B-4841-9CF4-572FA5C273F3}"/>
    <cellStyle name="Normal 5 2 3 2 3 6" xfId="2583" xr:uid="{00000000-0005-0000-0000-00006E180000}"/>
    <cellStyle name="Normal 5 2 3 2 3 6 2" xfId="6866" xr:uid="{00000000-0005-0000-0000-00006F180000}"/>
    <cellStyle name="Normal 5 2 3 2 3 6 2 2" xfId="15361" xr:uid="{EBE3D8EA-253D-44D7-9958-45D240FA6010}"/>
    <cellStyle name="Normal 5 2 3 2 3 6 3" xfId="11148" xr:uid="{0C32140C-0930-46A8-AB13-892E050B9CF5}"/>
    <cellStyle name="Normal 5 2 3 2 3 7" xfId="4801" xr:uid="{00000000-0005-0000-0000-000070180000}"/>
    <cellStyle name="Normal 5 2 3 2 3 7 2" xfId="13296" xr:uid="{A12071E7-DE3B-49B3-B485-4362AF01D803}"/>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51" xr:uid="{48C580E5-869B-4869-AEF7-CE9540B1505B}"/>
    <cellStyle name="Normal 5 2 3 2 4 2 3" xfId="11638" xr:uid="{A2AE6B53-DB1E-45D5-B8A1-2128E447A593}"/>
    <cellStyle name="Normal 5 2 3 2 4 3" xfId="5211" xr:uid="{00000000-0005-0000-0000-000074180000}"/>
    <cellStyle name="Normal 5 2 3 2 4 3 2" xfId="13706" xr:uid="{69938A95-9B71-40C8-AAD6-5ED32AD54484}"/>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64" xr:uid="{71B68130-A197-44B1-8E49-5C87E726DE99}"/>
    <cellStyle name="Normal 5 2 3 2 5 2 3" xfId="12051" xr:uid="{73007C30-041E-46C2-9682-AE5057F83451}"/>
    <cellStyle name="Normal 5 2 3 2 5 3" xfId="5624" xr:uid="{00000000-0005-0000-0000-000078180000}"/>
    <cellStyle name="Normal 5 2 3 2 5 3 2" xfId="14119" xr:uid="{2D59ADB6-8383-4F18-825B-5E9363116932}"/>
    <cellStyle name="Normal 5 2 3 2 5 4" xfId="9906" xr:uid="{14D5FAA6-FC23-4F00-B659-BCF6985A7F95}"/>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77" xr:uid="{098A0062-A064-433D-989F-4DD9C9DAA1F0}"/>
    <cellStyle name="Normal 5 2 3 2 6 2 3" xfId="12464" xr:uid="{893A8695-35EE-4A47-8B60-CE52BC39BD99}"/>
    <cellStyle name="Normal 5 2 3 2 6 3" xfId="6037" xr:uid="{00000000-0005-0000-0000-00007C180000}"/>
    <cellStyle name="Normal 5 2 3 2 6 3 2" xfId="14532" xr:uid="{84CE61C2-D1B5-4043-846E-90106ED45EE1}"/>
    <cellStyle name="Normal 5 2 3 2 6 4" xfId="10319" xr:uid="{14557D0B-0BDF-42B1-91AD-3C425F76EC1E}"/>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90" xr:uid="{FD412E17-9A68-4FB8-BE87-6146A46EC607}"/>
    <cellStyle name="Normal 5 2 3 2 7 2 3" xfId="12877" xr:uid="{67F1F9BB-DAB9-4A83-A87C-38CA6220B11D}"/>
    <cellStyle name="Normal 5 2 3 2 7 3" xfId="6450" xr:uid="{00000000-0005-0000-0000-000080180000}"/>
    <cellStyle name="Normal 5 2 3 2 7 3 2" xfId="14945" xr:uid="{E3E2E4CF-DFF7-4B41-B828-4982EBF79EA7}"/>
    <cellStyle name="Normal 5 2 3 2 7 4" xfId="10732" xr:uid="{E62A09F2-3843-4F17-B8A1-190C1B7143C3}"/>
    <cellStyle name="Normal 5 2 3 2 8" xfId="2580" xr:uid="{00000000-0005-0000-0000-000081180000}"/>
    <cellStyle name="Normal 5 2 3 2 8 2" xfId="6863" xr:uid="{00000000-0005-0000-0000-000082180000}"/>
    <cellStyle name="Normal 5 2 3 2 8 2 2" xfId="15358" xr:uid="{D30E595C-4EC8-4B69-B01D-1EC182BADD6F}"/>
    <cellStyle name="Normal 5 2 3 2 8 3" xfId="11145" xr:uid="{5E597DBE-9E92-4B98-A430-6E669A965DCA}"/>
    <cellStyle name="Normal 5 2 3 2 9" xfId="4798" xr:uid="{00000000-0005-0000-0000-000083180000}"/>
    <cellStyle name="Normal 5 2 3 2 9 2" xfId="13293" xr:uid="{81E2BF76-25BD-4A4F-A92A-4F9E77CCA96D}"/>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56" xr:uid="{01FB9189-4C94-4283-83AD-E184EB7DCCC1}"/>
    <cellStyle name="Normal 5 2 3 3 2 2 2 3" xfId="11643" xr:uid="{48E23FDE-A76C-49AC-AB54-28C822971A5A}"/>
    <cellStyle name="Normal 5 2 3 3 2 2 3" xfId="5216" xr:uid="{00000000-0005-0000-0000-000089180000}"/>
    <cellStyle name="Normal 5 2 3 3 2 2 3 2" xfId="13711" xr:uid="{770CE565-F401-4599-921B-14AD55B1099B}"/>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69" xr:uid="{D9BFEBE4-939F-4AD0-823E-E3FC3AD9C875}"/>
    <cellStyle name="Normal 5 2 3 3 2 3 2 3" xfId="12056" xr:uid="{325AC1CA-4F11-4824-AF90-837D9F2D2CF4}"/>
    <cellStyle name="Normal 5 2 3 3 2 3 3" xfId="5629" xr:uid="{00000000-0005-0000-0000-00008D180000}"/>
    <cellStyle name="Normal 5 2 3 3 2 3 3 2" xfId="14124" xr:uid="{A2F8CCBE-8D55-4484-8558-A91821A7BAE6}"/>
    <cellStyle name="Normal 5 2 3 3 2 3 4" xfId="9911" xr:uid="{82969FB3-2817-4364-8EA7-7A4A64452DC4}"/>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82" xr:uid="{C001D89D-A34A-4C27-BECD-CE27FF1C3A5E}"/>
    <cellStyle name="Normal 5 2 3 3 2 4 2 3" xfId="12469" xr:uid="{78931741-B8F4-4038-8675-C8F14DF41AC9}"/>
    <cellStyle name="Normal 5 2 3 3 2 4 3" xfId="6042" xr:uid="{00000000-0005-0000-0000-000091180000}"/>
    <cellStyle name="Normal 5 2 3 3 2 4 3 2" xfId="14537" xr:uid="{0785A7AA-0B46-4417-A922-6456F4FBD878}"/>
    <cellStyle name="Normal 5 2 3 3 2 4 4" xfId="10324" xr:uid="{8F663199-AAAC-4B07-A40A-F244EAB8F29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95" xr:uid="{FBEC0456-EF61-483D-A967-B2E160BAAE51}"/>
    <cellStyle name="Normal 5 2 3 3 2 5 2 3" xfId="12882" xr:uid="{04F3BEA0-7425-49C1-8C8C-7909D0F8CCD3}"/>
    <cellStyle name="Normal 5 2 3 3 2 5 3" xfId="6455" xr:uid="{00000000-0005-0000-0000-000095180000}"/>
    <cellStyle name="Normal 5 2 3 3 2 5 3 2" xfId="14950" xr:uid="{60A10474-D110-4EE9-BCC2-9372253711D9}"/>
    <cellStyle name="Normal 5 2 3 3 2 5 4" xfId="10737" xr:uid="{8CA587B5-609B-40AE-9D87-A717EB8DAE53}"/>
    <cellStyle name="Normal 5 2 3 3 2 6" xfId="2585" xr:uid="{00000000-0005-0000-0000-000096180000}"/>
    <cellStyle name="Normal 5 2 3 3 2 6 2" xfId="6868" xr:uid="{00000000-0005-0000-0000-000097180000}"/>
    <cellStyle name="Normal 5 2 3 3 2 6 2 2" xfId="15363" xr:uid="{366D8F34-0CA7-460D-843B-63345E6B50C8}"/>
    <cellStyle name="Normal 5 2 3 3 2 6 3" xfId="11150" xr:uid="{FD248099-2AC9-4435-9B00-6E19DBF24EF9}"/>
    <cellStyle name="Normal 5 2 3 3 2 7" xfId="4803" xr:uid="{00000000-0005-0000-0000-000098180000}"/>
    <cellStyle name="Normal 5 2 3 3 2 7 2" xfId="13298" xr:uid="{8B1864FE-90EB-4151-A415-7121FFA83886}"/>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55" xr:uid="{824DFA2C-2CC5-4E68-838C-C62D870694BD}"/>
    <cellStyle name="Normal 5 2 3 3 3 2 3" xfId="11642" xr:uid="{FFF8E552-E838-41AE-A8F1-55A840734A90}"/>
    <cellStyle name="Normal 5 2 3 3 3 3" xfId="5215" xr:uid="{00000000-0005-0000-0000-00009C180000}"/>
    <cellStyle name="Normal 5 2 3 3 3 3 2" xfId="13710" xr:uid="{988C961A-313A-4E66-81B9-82E91D8E2D67}"/>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68" xr:uid="{313729D3-5E98-4CF4-A87B-90EE94F583FA}"/>
    <cellStyle name="Normal 5 2 3 3 4 2 3" xfId="12055" xr:uid="{1344D0E9-3E2E-4725-824F-AB4228296A6F}"/>
    <cellStyle name="Normal 5 2 3 3 4 3" xfId="5628" xr:uid="{00000000-0005-0000-0000-0000A0180000}"/>
    <cellStyle name="Normal 5 2 3 3 4 3 2" xfId="14123" xr:uid="{A2C009E7-6650-4CB9-BEF0-97C5C1F86B71}"/>
    <cellStyle name="Normal 5 2 3 3 4 4" xfId="9910" xr:uid="{839F2316-CC06-4A41-B78C-7E37A7B2F825}"/>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81" xr:uid="{EDE0FFA2-9EE5-4628-8FB1-F3E69A713C05}"/>
    <cellStyle name="Normal 5 2 3 3 5 2 3" xfId="12468" xr:uid="{7A025ED9-D5C2-4271-BE02-8EC0CC31CFA4}"/>
    <cellStyle name="Normal 5 2 3 3 5 3" xfId="6041" xr:uid="{00000000-0005-0000-0000-0000A4180000}"/>
    <cellStyle name="Normal 5 2 3 3 5 3 2" xfId="14536" xr:uid="{B1605754-8BB9-450F-B271-60ACCBC36CB6}"/>
    <cellStyle name="Normal 5 2 3 3 5 4" xfId="10323" xr:uid="{AE4F8659-CCA0-424C-806D-98108E13B0D9}"/>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94" xr:uid="{6965DE4F-E82C-485F-A656-0577C606D299}"/>
    <cellStyle name="Normal 5 2 3 3 6 2 3" xfId="12881" xr:uid="{4D736796-D085-4AA8-A5C2-6F5F4C4901A3}"/>
    <cellStyle name="Normal 5 2 3 3 6 3" xfId="6454" xr:uid="{00000000-0005-0000-0000-0000A8180000}"/>
    <cellStyle name="Normal 5 2 3 3 6 3 2" xfId="14949" xr:uid="{60C3EF9F-6EFB-4F94-B91D-E7C59403B102}"/>
    <cellStyle name="Normal 5 2 3 3 6 4" xfId="10736" xr:uid="{4DA5F8A9-134B-40B8-9DBD-8F1D0063896E}"/>
    <cellStyle name="Normal 5 2 3 3 7" xfId="2584" xr:uid="{00000000-0005-0000-0000-0000A9180000}"/>
    <cellStyle name="Normal 5 2 3 3 7 2" xfId="6867" xr:uid="{00000000-0005-0000-0000-0000AA180000}"/>
    <cellStyle name="Normal 5 2 3 3 7 2 2" xfId="15362" xr:uid="{BEB095A0-924E-4A12-829A-3DE9C25DA285}"/>
    <cellStyle name="Normal 5 2 3 3 7 3" xfId="11149" xr:uid="{2937C314-4CB1-4000-A3CD-63F40BE7FEF4}"/>
    <cellStyle name="Normal 5 2 3 3 8" xfId="4802" xr:uid="{00000000-0005-0000-0000-0000AB180000}"/>
    <cellStyle name="Normal 5 2 3 3 8 2" xfId="13297" xr:uid="{6C7FCFF3-D323-4A06-B0F1-8A537E424533}"/>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57" xr:uid="{183B6B1E-2F56-4B97-BE56-54CBEE080411}"/>
    <cellStyle name="Normal 5 2 3 4 2 2 3" xfId="11644" xr:uid="{5B97E184-3655-416A-985B-ACB6B605ADC2}"/>
    <cellStyle name="Normal 5 2 3 4 2 3" xfId="5217" xr:uid="{00000000-0005-0000-0000-0000B0180000}"/>
    <cellStyle name="Normal 5 2 3 4 2 3 2" xfId="13712" xr:uid="{FCDEA077-1ADD-4B5E-899E-21A992F153C7}"/>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70" xr:uid="{D50779B0-5000-4F82-9C33-3E43F318E07D}"/>
    <cellStyle name="Normal 5 2 3 4 3 2 3" xfId="12057" xr:uid="{2BFFB8E7-A119-4EA0-BA45-3BC19C6B4AAB}"/>
    <cellStyle name="Normal 5 2 3 4 3 3" xfId="5630" xr:uid="{00000000-0005-0000-0000-0000B4180000}"/>
    <cellStyle name="Normal 5 2 3 4 3 3 2" xfId="14125" xr:uid="{D86F855A-499F-4D98-8351-B469EFE991E2}"/>
    <cellStyle name="Normal 5 2 3 4 3 4" xfId="9912" xr:uid="{AB57E0E1-BAB3-4C8C-B6B0-24DE86864946}"/>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83" xr:uid="{AD88D74F-4834-4E77-AA98-294D435FC6EC}"/>
    <cellStyle name="Normal 5 2 3 4 4 2 3" xfId="12470" xr:uid="{3FFD98AA-CDA6-40C2-9A4B-DB5FE24D85FE}"/>
    <cellStyle name="Normal 5 2 3 4 4 3" xfId="6043" xr:uid="{00000000-0005-0000-0000-0000B8180000}"/>
    <cellStyle name="Normal 5 2 3 4 4 3 2" xfId="14538" xr:uid="{8D866552-E237-4A4F-A7D0-20E93A558D7B}"/>
    <cellStyle name="Normal 5 2 3 4 4 4" xfId="10325" xr:uid="{C3A5A5FF-9002-4E45-82AB-9E5E246C3C37}"/>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96" xr:uid="{0AE952CD-9CFD-43A7-849C-380E2DE61D2D}"/>
    <cellStyle name="Normal 5 2 3 4 5 2 3" xfId="12883" xr:uid="{DAFED7C0-CEB5-486A-BB9B-1E59B201F7DF}"/>
    <cellStyle name="Normal 5 2 3 4 5 3" xfId="6456" xr:uid="{00000000-0005-0000-0000-0000BC180000}"/>
    <cellStyle name="Normal 5 2 3 4 5 3 2" xfId="14951" xr:uid="{8C0966FB-3069-432D-9A3B-2ABC55424944}"/>
    <cellStyle name="Normal 5 2 3 4 5 4" xfId="10738" xr:uid="{3167B551-19D0-4A79-9047-1CF6BA6400F6}"/>
    <cellStyle name="Normal 5 2 3 4 6" xfId="2586" xr:uid="{00000000-0005-0000-0000-0000BD180000}"/>
    <cellStyle name="Normal 5 2 3 4 6 2" xfId="6869" xr:uid="{00000000-0005-0000-0000-0000BE180000}"/>
    <cellStyle name="Normal 5 2 3 4 6 2 2" xfId="15364" xr:uid="{631FB174-06D2-4615-B377-7E7B7879E466}"/>
    <cellStyle name="Normal 5 2 3 4 6 3" xfId="11151" xr:uid="{2B2D9061-19DD-40E2-B23D-93F3C3E286FE}"/>
    <cellStyle name="Normal 5 2 3 4 7" xfId="4804" xr:uid="{00000000-0005-0000-0000-0000BF180000}"/>
    <cellStyle name="Normal 5 2 3 4 7 2" xfId="13299" xr:uid="{32C1324A-D03C-444C-8258-04FE6C7F839E}"/>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2 2 2" xfId="15850" xr:uid="{2FC765AF-30BB-4C78-8146-6E0EE65355A9}"/>
    <cellStyle name="Normal 5 2 3 5 2 3" xfId="11637" xr:uid="{8E2D6ABD-A1D6-47EC-8B68-765D4F402A74}"/>
    <cellStyle name="Normal 5 2 3 5 3" xfId="5210" xr:uid="{00000000-0005-0000-0000-0000C3180000}"/>
    <cellStyle name="Normal 5 2 3 5 3 2" xfId="13705" xr:uid="{8076F157-CE9C-4D1A-B980-31E1BF7AE5B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2 2 2" xfId="16263" xr:uid="{05D6A019-73C2-4FDC-A31C-EF056CF86447}"/>
    <cellStyle name="Normal 5 2 3 6 2 3" xfId="12050" xr:uid="{DDBDD757-7B75-495C-BDB3-29982C8077C1}"/>
    <cellStyle name="Normal 5 2 3 6 3" xfId="5623" xr:uid="{00000000-0005-0000-0000-0000C7180000}"/>
    <cellStyle name="Normal 5 2 3 6 3 2" xfId="14118" xr:uid="{1F5A2612-D4D9-4535-ABE5-1B23E332CAFB}"/>
    <cellStyle name="Normal 5 2 3 6 4" xfId="9905" xr:uid="{F1069A8A-6DC8-4223-B54F-AECF6C30CAC7}"/>
    <cellStyle name="Normal 5 2 3 7" xfId="1729" xr:uid="{00000000-0005-0000-0000-0000C8180000}"/>
    <cellStyle name="Normal 5 2 3 7 2" xfId="3959" xr:uid="{00000000-0005-0000-0000-0000C9180000}"/>
    <cellStyle name="Normal 5 2 3 7 2 2" xfId="8181" xr:uid="{00000000-0005-0000-0000-0000CA180000}"/>
    <cellStyle name="Normal 5 2 3 7 2 2 2" xfId="16676" xr:uid="{0FB1627A-5FAD-45D8-97A4-7AE3C3337C06}"/>
    <cellStyle name="Normal 5 2 3 7 2 3" xfId="12463" xr:uid="{B4A4F3F7-B60A-4624-AB53-A276192F44CE}"/>
    <cellStyle name="Normal 5 2 3 7 3" xfId="6036" xr:uid="{00000000-0005-0000-0000-0000CB180000}"/>
    <cellStyle name="Normal 5 2 3 7 3 2" xfId="14531" xr:uid="{D1B6EF14-4D38-4A4F-B480-83C50BAC2A4E}"/>
    <cellStyle name="Normal 5 2 3 7 4" xfId="10318" xr:uid="{353C1C06-AD8E-4877-849D-6E94CBDA9EA2}"/>
    <cellStyle name="Normal 5 2 3 8" xfId="2143" xr:uid="{00000000-0005-0000-0000-0000CC180000}"/>
    <cellStyle name="Normal 5 2 3 8 2" xfId="4372" xr:uid="{00000000-0005-0000-0000-0000CD180000}"/>
    <cellStyle name="Normal 5 2 3 8 2 2" xfId="8594" xr:uid="{00000000-0005-0000-0000-0000CE180000}"/>
    <cellStyle name="Normal 5 2 3 8 2 2 2" xfId="17089" xr:uid="{9E878440-7B0B-40BD-A082-60A513C6981B}"/>
    <cellStyle name="Normal 5 2 3 8 2 3" xfId="12876" xr:uid="{94AAEEA7-67AC-43A4-816A-57791FD8421D}"/>
    <cellStyle name="Normal 5 2 3 8 3" xfId="6449" xr:uid="{00000000-0005-0000-0000-0000CF180000}"/>
    <cellStyle name="Normal 5 2 3 8 3 2" xfId="14944" xr:uid="{B91A8CEC-223F-43DA-9979-D8CC0206D4C4}"/>
    <cellStyle name="Normal 5 2 3 8 4" xfId="10731" xr:uid="{091C7FF0-9D42-4FBE-9E5E-C74EA12AB0CF}"/>
    <cellStyle name="Normal 5 2 3 9" xfId="2579" xr:uid="{00000000-0005-0000-0000-0000D0180000}"/>
    <cellStyle name="Normal 5 2 3 9 2" xfId="6862" xr:uid="{00000000-0005-0000-0000-0000D1180000}"/>
    <cellStyle name="Normal 5 2 3 9 2 2" xfId="15357" xr:uid="{299820BB-03D1-4D50-83B7-0ED8EDB547A6}"/>
    <cellStyle name="Normal 5 2 3 9 3" xfId="11144" xr:uid="{13BEACF6-FBEA-4546-A89A-6266F51A59AF}"/>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60" xr:uid="{97BCA1C6-5FFC-464C-9E46-00F502F95F7B}"/>
    <cellStyle name="Normal 5 2 4 2 2 2 2 3" xfId="11647" xr:uid="{039B1F97-0AE6-45A4-97A5-0E957BA7E83D}"/>
    <cellStyle name="Normal 5 2 4 2 2 2 3" xfId="5220" xr:uid="{00000000-0005-0000-0000-0000D8180000}"/>
    <cellStyle name="Normal 5 2 4 2 2 2 3 2" xfId="13715" xr:uid="{84FE364F-5593-481E-ACF2-64EC9F636B66}"/>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73" xr:uid="{1A5E9C34-C5DB-450F-9B9D-9AEF1B761ADE}"/>
    <cellStyle name="Normal 5 2 4 2 2 3 2 3" xfId="12060" xr:uid="{05428548-D470-4540-BAF7-FD000861FBD0}"/>
    <cellStyle name="Normal 5 2 4 2 2 3 3" xfId="5633" xr:uid="{00000000-0005-0000-0000-0000DC180000}"/>
    <cellStyle name="Normal 5 2 4 2 2 3 3 2" xfId="14128" xr:uid="{881A00E9-F9B8-49D8-BBAD-CF4ED72B8EBE}"/>
    <cellStyle name="Normal 5 2 4 2 2 3 4" xfId="9915" xr:uid="{97BFAD22-885F-4CFF-A46C-3E028FA65F87}"/>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86" xr:uid="{3E6558D6-E6BB-4C8E-859E-2401FBE6069A}"/>
    <cellStyle name="Normal 5 2 4 2 2 4 2 3" xfId="12473" xr:uid="{A6DE42F7-0A9C-43CB-A0DF-9471DD1EC778}"/>
    <cellStyle name="Normal 5 2 4 2 2 4 3" xfId="6046" xr:uid="{00000000-0005-0000-0000-0000E0180000}"/>
    <cellStyle name="Normal 5 2 4 2 2 4 3 2" xfId="14541" xr:uid="{94E7C1D1-8130-4195-9381-B2D216220322}"/>
    <cellStyle name="Normal 5 2 4 2 2 4 4" xfId="10328" xr:uid="{36656039-3F84-4BB2-B744-2106C182F458}"/>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99" xr:uid="{7C5FA35B-CDFE-4AE8-A4DB-0FB8AAD3F2F5}"/>
    <cellStyle name="Normal 5 2 4 2 2 5 2 3" xfId="12886" xr:uid="{A5D7500F-A1BC-42E1-970A-44FBE0AA4D71}"/>
    <cellStyle name="Normal 5 2 4 2 2 5 3" xfId="6459" xr:uid="{00000000-0005-0000-0000-0000E4180000}"/>
    <cellStyle name="Normal 5 2 4 2 2 5 3 2" xfId="14954" xr:uid="{D20866F0-F37A-4DDA-B4CA-5FCC045F5E19}"/>
    <cellStyle name="Normal 5 2 4 2 2 5 4" xfId="10741" xr:uid="{99AB50E9-BA3B-4FD8-8F81-EA858FAA7324}"/>
    <cellStyle name="Normal 5 2 4 2 2 6" xfId="2589" xr:uid="{00000000-0005-0000-0000-0000E5180000}"/>
    <cellStyle name="Normal 5 2 4 2 2 6 2" xfId="6872" xr:uid="{00000000-0005-0000-0000-0000E6180000}"/>
    <cellStyle name="Normal 5 2 4 2 2 6 2 2" xfId="15367" xr:uid="{A9657826-91B4-4212-9D7C-CEB54847A688}"/>
    <cellStyle name="Normal 5 2 4 2 2 6 3" xfId="11154" xr:uid="{C30E96B0-27D7-4836-ABE1-5EAE215C7404}"/>
    <cellStyle name="Normal 5 2 4 2 2 7" xfId="4807" xr:uid="{00000000-0005-0000-0000-0000E7180000}"/>
    <cellStyle name="Normal 5 2 4 2 2 7 2" xfId="13302" xr:uid="{19491669-9065-4B70-86DE-00F04F0E222C}"/>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59" xr:uid="{9D076895-7F8E-4004-8CF0-D7DB6CF90DD2}"/>
    <cellStyle name="Normal 5 2 4 2 3 2 3" xfId="11646" xr:uid="{8A7AACEC-B48A-4EA0-B2D0-AC2729924668}"/>
    <cellStyle name="Normal 5 2 4 2 3 3" xfId="5219" xr:uid="{00000000-0005-0000-0000-0000EB180000}"/>
    <cellStyle name="Normal 5 2 4 2 3 3 2" xfId="13714" xr:uid="{84B80AC1-5863-44CA-92A2-A3BBE200B5F4}"/>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72" xr:uid="{FAC8004F-F4BD-4BBF-BB4E-34D5D1274758}"/>
    <cellStyle name="Normal 5 2 4 2 4 2 3" xfId="12059" xr:uid="{D1539F36-8258-4932-80D4-6EDDE15D891A}"/>
    <cellStyle name="Normal 5 2 4 2 4 3" xfId="5632" xr:uid="{00000000-0005-0000-0000-0000EF180000}"/>
    <cellStyle name="Normal 5 2 4 2 4 3 2" xfId="14127" xr:uid="{BEAA4716-C50C-443C-83AA-4F18DB4EC048}"/>
    <cellStyle name="Normal 5 2 4 2 4 4" xfId="9914" xr:uid="{A4F4BC58-7C54-485D-BD44-E8D14CD95040}"/>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85" xr:uid="{1BCA8D78-56D6-4F79-AE17-6CA219D6B8F8}"/>
    <cellStyle name="Normal 5 2 4 2 5 2 3" xfId="12472" xr:uid="{AD013CD7-F71A-4CED-A5DB-572592ADEAE4}"/>
    <cellStyle name="Normal 5 2 4 2 5 3" xfId="6045" xr:uid="{00000000-0005-0000-0000-0000F3180000}"/>
    <cellStyle name="Normal 5 2 4 2 5 3 2" xfId="14540" xr:uid="{3509E99F-4689-482A-AE83-383483FA0C5D}"/>
    <cellStyle name="Normal 5 2 4 2 5 4" xfId="10327" xr:uid="{8AA708F5-8253-4DDE-882F-DC6619E1700B}"/>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98" xr:uid="{1D2F70D3-5A25-4D97-B98B-24423AB59DEF}"/>
    <cellStyle name="Normal 5 2 4 2 6 2 3" xfId="12885" xr:uid="{989DC460-C045-4D47-A2EB-7AB63AF81B6D}"/>
    <cellStyle name="Normal 5 2 4 2 6 3" xfId="6458" xr:uid="{00000000-0005-0000-0000-0000F7180000}"/>
    <cellStyle name="Normal 5 2 4 2 6 3 2" xfId="14953" xr:uid="{492B0AEB-D218-4240-8ACC-AFC1BB364574}"/>
    <cellStyle name="Normal 5 2 4 2 6 4" xfId="10740" xr:uid="{BDEC655F-D365-48F5-BF7F-C7285C232238}"/>
    <cellStyle name="Normal 5 2 4 2 7" xfId="2588" xr:uid="{00000000-0005-0000-0000-0000F8180000}"/>
    <cellStyle name="Normal 5 2 4 2 7 2" xfId="6871" xr:uid="{00000000-0005-0000-0000-0000F9180000}"/>
    <cellStyle name="Normal 5 2 4 2 7 2 2" xfId="15366" xr:uid="{1D5D5A1B-BE10-43CE-BA4D-BC69E4E98144}"/>
    <cellStyle name="Normal 5 2 4 2 7 3" xfId="11153" xr:uid="{ECF6E1D7-2583-4560-B7C5-FAF01783A39E}"/>
    <cellStyle name="Normal 5 2 4 2 8" xfId="4806" xr:uid="{00000000-0005-0000-0000-0000FA180000}"/>
    <cellStyle name="Normal 5 2 4 2 8 2" xfId="13301" xr:uid="{9C58D07E-B087-4A16-BB5A-A9F033588007}"/>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61" xr:uid="{A16CDCD2-A709-44D5-A3D3-42F45827965E}"/>
    <cellStyle name="Normal 5 2 4 3 2 2 3" xfId="11648" xr:uid="{19AAD77E-F19E-4AF8-B67D-1752A6951DB2}"/>
    <cellStyle name="Normal 5 2 4 3 2 3" xfId="5221" xr:uid="{00000000-0005-0000-0000-0000FF180000}"/>
    <cellStyle name="Normal 5 2 4 3 2 3 2" xfId="13716" xr:uid="{8828F4CA-3DCC-49D5-A278-EA88FCE2DEA2}"/>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74" xr:uid="{5F835B2D-2F05-467E-A567-CF8CC307CBE0}"/>
    <cellStyle name="Normal 5 2 4 3 3 2 3" xfId="12061" xr:uid="{FE8FDAFB-FF52-433D-A206-2A4760C3B569}"/>
    <cellStyle name="Normal 5 2 4 3 3 3" xfId="5634" xr:uid="{00000000-0005-0000-0000-000003190000}"/>
    <cellStyle name="Normal 5 2 4 3 3 3 2" xfId="14129" xr:uid="{BD54A42F-3818-4826-9D95-38FD78F1F61C}"/>
    <cellStyle name="Normal 5 2 4 3 3 4" xfId="9916" xr:uid="{988AC30A-4F5A-473F-A138-4AD91806E167}"/>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87" xr:uid="{909306EF-EC0B-43F3-BF00-FF1A95F10B37}"/>
    <cellStyle name="Normal 5 2 4 3 4 2 3" xfId="12474" xr:uid="{343BC5E8-9CBE-48DF-A88F-D74E85D41B70}"/>
    <cellStyle name="Normal 5 2 4 3 4 3" xfId="6047" xr:uid="{00000000-0005-0000-0000-000007190000}"/>
    <cellStyle name="Normal 5 2 4 3 4 3 2" xfId="14542" xr:uid="{5493EE1A-A657-4A4E-9370-46D28B135B13}"/>
    <cellStyle name="Normal 5 2 4 3 4 4" xfId="10329" xr:uid="{DCD55769-9ECA-4E00-BBBF-ABA8D5F6F09D}"/>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100" xr:uid="{850FD130-4685-4C83-99BD-EE82453B61F8}"/>
    <cellStyle name="Normal 5 2 4 3 5 2 3" xfId="12887" xr:uid="{616F102B-31C5-43F9-AC7A-47D8915C5252}"/>
    <cellStyle name="Normal 5 2 4 3 5 3" xfId="6460" xr:uid="{00000000-0005-0000-0000-00000B190000}"/>
    <cellStyle name="Normal 5 2 4 3 5 3 2" xfId="14955" xr:uid="{DE91BAAD-F297-4A45-A379-7E93FA593E0F}"/>
    <cellStyle name="Normal 5 2 4 3 5 4" xfId="10742" xr:uid="{38CEC2B7-EA16-4E04-98FB-F3E52D8ACBF4}"/>
    <cellStyle name="Normal 5 2 4 3 6" xfId="2590" xr:uid="{00000000-0005-0000-0000-00000C190000}"/>
    <cellStyle name="Normal 5 2 4 3 6 2" xfId="6873" xr:uid="{00000000-0005-0000-0000-00000D190000}"/>
    <cellStyle name="Normal 5 2 4 3 6 2 2" xfId="15368" xr:uid="{B7B93BCF-32C2-449C-BD28-AFFC92F52253}"/>
    <cellStyle name="Normal 5 2 4 3 6 3" xfId="11155" xr:uid="{6AC05E0E-581E-4008-9842-F50FCB3ECF6A}"/>
    <cellStyle name="Normal 5 2 4 3 7" xfId="4808" xr:uid="{00000000-0005-0000-0000-00000E190000}"/>
    <cellStyle name="Normal 5 2 4 3 7 2" xfId="13303" xr:uid="{7BEA1E8A-C13E-46E1-AB92-E13206BE748A}"/>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2 2 2" xfId="15858" xr:uid="{990633AB-7482-4D8E-9E79-BE963A35001E}"/>
    <cellStyle name="Normal 5 2 4 4 2 3" xfId="11645" xr:uid="{13D75126-F768-4B8E-999B-76E28E49427E}"/>
    <cellStyle name="Normal 5 2 4 4 3" xfId="5218" xr:uid="{00000000-0005-0000-0000-000012190000}"/>
    <cellStyle name="Normal 5 2 4 4 3 2" xfId="13713" xr:uid="{05125B35-C2A0-499B-924C-ED043678EBBD}"/>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2 2 2" xfId="16271" xr:uid="{80DE5CE4-C70D-47C7-B21A-F1CA9EB764C1}"/>
    <cellStyle name="Normal 5 2 4 5 2 3" xfId="12058" xr:uid="{B620D66C-6A5F-4C99-BCBB-E70B42ED0A02}"/>
    <cellStyle name="Normal 5 2 4 5 3" xfId="5631" xr:uid="{00000000-0005-0000-0000-000016190000}"/>
    <cellStyle name="Normal 5 2 4 5 3 2" xfId="14126" xr:uid="{939ED4BD-9A85-452E-9A98-283D710A063C}"/>
    <cellStyle name="Normal 5 2 4 5 4" xfId="9913" xr:uid="{308D4899-0EF9-4127-BDBB-347BA45AE334}"/>
    <cellStyle name="Normal 5 2 4 6" xfId="1737" xr:uid="{00000000-0005-0000-0000-000017190000}"/>
    <cellStyle name="Normal 5 2 4 6 2" xfId="3967" xr:uid="{00000000-0005-0000-0000-000018190000}"/>
    <cellStyle name="Normal 5 2 4 6 2 2" xfId="8189" xr:uid="{00000000-0005-0000-0000-000019190000}"/>
    <cellStyle name="Normal 5 2 4 6 2 2 2" xfId="16684" xr:uid="{9EA7FC98-B5ED-4E8B-89F1-F979500CAEC2}"/>
    <cellStyle name="Normal 5 2 4 6 2 3" xfId="12471" xr:uid="{10E76D61-1662-44D2-9EB7-969D4A9E0A1D}"/>
    <cellStyle name="Normal 5 2 4 6 3" xfId="6044" xr:uid="{00000000-0005-0000-0000-00001A190000}"/>
    <cellStyle name="Normal 5 2 4 6 3 2" xfId="14539" xr:uid="{3789A96F-7989-40F0-9510-04F87EF27C39}"/>
    <cellStyle name="Normal 5 2 4 6 4" xfId="10326" xr:uid="{E4696E08-3F32-4759-A8D2-1CA499886BA1}"/>
    <cellStyle name="Normal 5 2 4 7" xfId="2151" xr:uid="{00000000-0005-0000-0000-00001B190000}"/>
    <cellStyle name="Normal 5 2 4 7 2" xfId="4380" xr:uid="{00000000-0005-0000-0000-00001C190000}"/>
    <cellStyle name="Normal 5 2 4 7 2 2" xfId="8602" xr:uid="{00000000-0005-0000-0000-00001D190000}"/>
    <cellStyle name="Normal 5 2 4 7 2 2 2" xfId="17097" xr:uid="{F13602D2-7FAD-4BED-ABB6-1F123719579C}"/>
    <cellStyle name="Normal 5 2 4 7 2 3" xfId="12884" xr:uid="{4B4CBD60-656E-4F0D-BB99-2F4F7A684CD7}"/>
    <cellStyle name="Normal 5 2 4 7 3" xfId="6457" xr:uid="{00000000-0005-0000-0000-00001E190000}"/>
    <cellStyle name="Normal 5 2 4 7 3 2" xfId="14952" xr:uid="{91C8A8BC-B313-49B2-B274-BDC670447E9C}"/>
    <cellStyle name="Normal 5 2 4 7 4" xfId="10739" xr:uid="{190F162F-4ED8-4FF1-B2E9-545711CFAB18}"/>
    <cellStyle name="Normal 5 2 4 8" xfId="2587" xr:uid="{00000000-0005-0000-0000-00001F190000}"/>
    <cellStyle name="Normal 5 2 4 8 2" xfId="6870" xr:uid="{00000000-0005-0000-0000-000020190000}"/>
    <cellStyle name="Normal 5 2 4 8 2 2" xfId="15365" xr:uid="{65403F16-3429-4A0E-A843-D76392F17777}"/>
    <cellStyle name="Normal 5 2 4 8 3" xfId="11152" xr:uid="{B90F28B5-268A-4ACA-8E8E-299A52DD5DCD}"/>
    <cellStyle name="Normal 5 2 4 9" xfId="4805" xr:uid="{00000000-0005-0000-0000-000021190000}"/>
    <cellStyle name="Normal 5 2 4 9 2" xfId="13300" xr:uid="{A541B58C-5068-41E3-8A6D-B8CCCD9A45C5}"/>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63" xr:uid="{9CBFB842-740D-4EDF-BA2F-6CDFB2F5C5F9}"/>
    <cellStyle name="Normal 5 2 5 2 2 2 3" xfId="11650" xr:uid="{FF8346C1-5C48-45A5-92F9-F7B8C3A81F67}"/>
    <cellStyle name="Normal 5 2 5 2 2 3" xfId="5223" xr:uid="{00000000-0005-0000-0000-000027190000}"/>
    <cellStyle name="Normal 5 2 5 2 2 3 2" xfId="13718" xr:uid="{10588A0C-A548-4091-9CAB-8BD50E03B552}"/>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76" xr:uid="{D00DF4AB-04BF-4A75-B60D-51EAD568C9C3}"/>
    <cellStyle name="Normal 5 2 5 2 3 2 3" xfId="12063" xr:uid="{E61BAE63-9186-4E27-9116-5895BD9D8C3D}"/>
    <cellStyle name="Normal 5 2 5 2 3 3" xfId="5636" xr:uid="{00000000-0005-0000-0000-00002B190000}"/>
    <cellStyle name="Normal 5 2 5 2 3 3 2" xfId="14131" xr:uid="{8A4130EE-54C1-48C4-9569-F41AEA1BF1DC}"/>
    <cellStyle name="Normal 5 2 5 2 3 4" xfId="9918" xr:uid="{751797B4-6CF4-406A-A94D-A7189BB60C92}"/>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89" xr:uid="{E747DC98-9250-441E-9185-3DA8A67171B7}"/>
    <cellStyle name="Normal 5 2 5 2 4 2 3" xfId="12476" xr:uid="{A0EEED2D-19D2-4C70-9B19-63CDBFE0FD14}"/>
    <cellStyle name="Normal 5 2 5 2 4 3" xfId="6049" xr:uid="{00000000-0005-0000-0000-00002F190000}"/>
    <cellStyle name="Normal 5 2 5 2 4 3 2" xfId="14544" xr:uid="{A1B99B8B-BB2E-45F3-8DFB-B4988FE7D51E}"/>
    <cellStyle name="Normal 5 2 5 2 4 4" xfId="10331" xr:uid="{261FB88B-737C-435F-8F48-D7F0A2E4C334}"/>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102" xr:uid="{506E0802-C302-4F24-98D7-51C1F9852D8A}"/>
    <cellStyle name="Normal 5 2 5 2 5 2 3" xfId="12889" xr:uid="{B2512A3D-3E97-4706-82D4-CB708ADF9187}"/>
    <cellStyle name="Normal 5 2 5 2 5 3" xfId="6462" xr:uid="{00000000-0005-0000-0000-000033190000}"/>
    <cellStyle name="Normal 5 2 5 2 5 3 2" xfId="14957" xr:uid="{B97A60A7-B910-4C81-9DC1-E6398FE6D21C}"/>
    <cellStyle name="Normal 5 2 5 2 5 4" xfId="10744" xr:uid="{75EAA0D1-A3E9-40EF-9159-949746C1FBA6}"/>
    <cellStyle name="Normal 5 2 5 2 6" xfId="2592" xr:uid="{00000000-0005-0000-0000-000034190000}"/>
    <cellStyle name="Normal 5 2 5 2 6 2" xfId="6875" xr:uid="{00000000-0005-0000-0000-000035190000}"/>
    <cellStyle name="Normal 5 2 5 2 6 2 2" xfId="15370" xr:uid="{C844D7AB-37CF-44E4-AA5C-93FF5E7E2480}"/>
    <cellStyle name="Normal 5 2 5 2 6 3" xfId="11157" xr:uid="{F250FBB1-E1C4-4287-8DF4-9DB87621A133}"/>
    <cellStyle name="Normal 5 2 5 2 7" xfId="4810" xr:uid="{00000000-0005-0000-0000-000036190000}"/>
    <cellStyle name="Normal 5 2 5 2 7 2" xfId="13305" xr:uid="{5A8E7903-8847-40F4-9DD2-352D10E0E811}"/>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2 2 2" xfId="15862" xr:uid="{2FD12831-3462-4357-9B5E-39EE24F95EA7}"/>
    <cellStyle name="Normal 5 2 5 3 2 3" xfId="11649" xr:uid="{BB9FEAB1-DD5E-4259-9132-2ADC4D4C4692}"/>
    <cellStyle name="Normal 5 2 5 3 3" xfId="5222" xr:uid="{00000000-0005-0000-0000-00003A190000}"/>
    <cellStyle name="Normal 5 2 5 3 3 2" xfId="13717" xr:uid="{4433E592-53B5-4734-99BE-6FDC5BF2F4CF}"/>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2 2 2" xfId="16275" xr:uid="{92EEDD11-3029-4333-8790-D8BC3BF4BEE7}"/>
    <cellStyle name="Normal 5 2 5 4 2 3" xfId="12062" xr:uid="{6EE3A245-7D34-428D-BE35-DD8B64A38BF0}"/>
    <cellStyle name="Normal 5 2 5 4 3" xfId="5635" xr:uid="{00000000-0005-0000-0000-00003E190000}"/>
    <cellStyle name="Normal 5 2 5 4 3 2" xfId="14130" xr:uid="{170D49CB-B81F-49B5-8626-25C5704707C2}"/>
    <cellStyle name="Normal 5 2 5 4 4" xfId="9917" xr:uid="{653AE846-A3C5-4053-AD9C-D1EA82ACF127}"/>
    <cellStyle name="Normal 5 2 5 5" xfId="1741" xr:uid="{00000000-0005-0000-0000-00003F190000}"/>
    <cellStyle name="Normal 5 2 5 5 2" xfId="3971" xr:uid="{00000000-0005-0000-0000-000040190000}"/>
    <cellStyle name="Normal 5 2 5 5 2 2" xfId="8193" xr:uid="{00000000-0005-0000-0000-000041190000}"/>
    <cellStyle name="Normal 5 2 5 5 2 2 2" xfId="16688" xr:uid="{7FD50B5E-A948-479A-BBF9-1045BE05F011}"/>
    <cellStyle name="Normal 5 2 5 5 2 3" xfId="12475" xr:uid="{345462A8-8E5D-45CD-A116-B6A70060CB52}"/>
    <cellStyle name="Normal 5 2 5 5 3" xfId="6048" xr:uid="{00000000-0005-0000-0000-000042190000}"/>
    <cellStyle name="Normal 5 2 5 5 3 2" xfId="14543" xr:uid="{E3B96AEE-C54A-4399-9602-8413CC52A794}"/>
    <cellStyle name="Normal 5 2 5 5 4" xfId="10330" xr:uid="{BAB035E3-746F-47CB-A73C-B267E51EB2D4}"/>
    <cellStyle name="Normal 5 2 5 6" xfId="2155" xr:uid="{00000000-0005-0000-0000-000043190000}"/>
    <cellStyle name="Normal 5 2 5 6 2" xfId="4384" xr:uid="{00000000-0005-0000-0000-000044190000}"/>
    <cellStyle name="Normal 5 2 5 6 2 2" xfId="8606" xr:uid="{00000000-0005-0000-0000-000045190000}"/>
    <cellStyle name="Normal 5 2 5 6 2 2 2" xfId="17101" xr:uid="{6F02E520-90A8-4F5B-925E-FCE932B75C44}"/>
    <cellStyle name="Normal 5 2 5 6 2 3" xfId="12888" xr:uid="{6BC09953-4887-404A-AA91-EBAE09832D95}"/>
    <cellStyle name="Normal 5 2 5 6 3" xfId="6461" xr:uid="{00000000-0005-0000-0000-000046190000}"/>
    <cellStyle name="Normal 5 2 5 6 3 2" xfId="14956" xr:uid="{00C3B850-DD3C-4015-B303-CD1711530917}"/>
    <cellStyle name="Normal 5 2 5 6 4" xfId="10743" xr:uid="{0209A604-6BEB-40DB-9692-11F3CCD18428}"/>
    <cellStyle name="Normal 5 2 5 7" xfId="2591" xr:uid="{00000000-0005-0000-0000-000047190000}"/>
    <cellStyle name="Normal 5 2 5 7 2" xfId="6874" xr:uid="{00000000-0005-0000-0000-000048190000}"/>
    <cellStyle name="Normal 5 2 5 7 2 2" xfId="15369" xr:uid="{0C5D41F3-7B03-4376-801A-EF0610987143}"/>
    <cellStyle name="Normal 5 2 5 7 3" xfId="11156" xr:uid="{A50E8080-1ECD-4333-AB86-15DC403AD154}"/>
    <cellStyle name="Normal 5 2 5 8" xfId="4809" xr:uid="{00000000-0005-0000-0000-000049190000}"/>
    <cellStyle name="Normal 5 2 5 8 2" xfId="13304" xr:uid="{DC135489-74E5-4BB9-A8F1-C7AF177621DE}"/>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64" xr:uid="{9EF23DBF-BD9E-4545-9955-50D31820E96B}"/>
    <cellStyle name="Normal 5 2 6 2 2 3" xfId="11651" xr:uid="{F63066E0-B400-4C32-8FF0-F8B55F8F5A4C}"/>
    <cellStyle name="Normal 5 2 6 2 3" xfId="5224" xr:uid="{00000000-0005-0000-0000-00004E190000}"/>
    <cellStyle name="Normal 5 2 6 2 3 2" xfId="13719" xr:uid="{FF589BC9-EEE5-45F4-9B86-87861F4E426E}"/>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2 2 2" xfId="16277" xr:uid="{CAB47D7F-5E3D-4024-8C87-4EBE65FEC763}"/>
    <cellStyle name="Normal 5 2 6 3 2 3" xfId="12064" xr:uid="{2FDD107B-C8F5-4029-8A31-448B499B0F0D}"/>
    <cellStyle name="Normal 5 2 6 3 3" xfId="5637" xr:uid="{00000000-0005-0000-0000-000052190000}"/>
    <cellStyle name="Normal 5 2 6 3 3 2" xfId="14132" xr:uid="{2C708BDC-710E-43E8-85AC-17BE319E9324}"/>
    <cellStyle name="Normal 5 2 6 3 4" xfId="9919" xr:uid="{9B550270-8115-42BD-A137-35131F7D8E41}"/>
    <cellStyle name="Normal 5 2 6 4" xfId="1743" xr:uid="{00000000-0005-0000-0000-000053190000}"/>
    <cellStyle name="Normal 5 2 6 4 2" xfId="3973" xr:uid="{00000000-0005-0000-0000-000054190000}"/>
    <cellStyle name="Normal 5 2 6 4 2 2" xfId="8195" xr:uid="{00000000-0005-0000-0000-000055190000}"/>
    <cellStyle name="Normal 5 2 6 4 2 2 2" xfId="16690" xr:uid="{F01329F4-D858-41E0-8F9B-5C81136FCA6A}"/>
    <cellStyle name="Normal 5 2 6 4 2 3" xfId="12477" xr:uid="{9553B854-E936-4C08-9EE3-A9ADDBCB5ED2}"/>
    <cellStyle name="Normal 5 2 6 4 3" xfId="6050" xr:uid="{00000000-0005-0000-0000-000056190000}"/>
    <cellStyle name="Normal 5 2 6 4 3 2" xfId="14545" xr:uid="{15C47950-48A6-4214-906C-BF2E97884FAA}"/>
    <cellStyle name="Normal 5 2 6 4 4" xfId="10332" xr:uid="{3B8EF247-7A30-41DB-AB7E-75C5689C5E76}"/>
    <cellStyle name="Normal 5 2 6 5" xfId="2157" xr:uid="{00000000-0005-0000-0000-000057190000}"/>
    <cellStyle name="Normal 5 2 6 5 2" xfId="4386" xr:uid="{00000000-0005-0000-0000-000058190000}"/>
    <cellStyle name="Normal 5 2 6 5 2 2" xfId="8608" xr:uid="{00000000-0005-0000-0000-000059190000}"/>
    <cellStyle name="Normal 5 2 6 5 2 2 2" xfId="17103" xr:uid="{0CFBD24B-930C-4916-920F-330731A4A727}"/>
    <cellStyle name="Normal 5 2 6 5 2 3" xfId="12890" xr:uid="{FAD9BF93-9A2D-48D3-B1CE-305F80269ACA}"/>
    <cellStyle name="Normal 5 2 6 5 3" xfId="6463" xr:uid="{00000000-0005-0000-0000-00005A190000}"/>
    <cellStyle name="Normal 5 2 6 5 3 2" xfId="14958" xr:uid="{5CAF0E67-0BD9-4AE9-AE6C-5AB6765F7A8E}"/>
    <cellStyle name="Normal 5 2 6 5 4" xfId="10745" xr:uid="{0F1D4F93-0BA1-43B9-9A84-529EBD644A8E}"/>
    <cellStyle name="Normal 5 2 6 6" xfId="2593" xr:uid="{00000000-0005-0000-0000-00005B190000}"/>
    <cellStyle name="Normal 5 2 6 6 2" xfId="6876" xr:uid="{00000000-0005-0000-0000-00005C190000}"/>
    <cellStyle name="Normal 5 2 6 6 2 2" xfId="15371" xr:uid="{660E6F56-61D1-4998-A9C4-F928FA88AEC4}"/>
    <cellStyle name="Normal 5 2 6 6 3" xfId="11158" xr:uid="{55703C19-7C6E-4561-9951-167A59DD29F8}"/>
    <cellStyle name="Normal 5 2 6 7" xfId="4811" xr:uid="{00000000-0005-0000-0000-00005D190000}"/>
    <cellStyle name="Normal 5 2 6 7 2" xfId="13306" xr:uid="{417C2ABB-E2B3-48B1-9812-15FA47C4A024}"/>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2 2 2" xfId="15833" xr:uid="{F1659EEA-1369-49A7-8C72-2313BCD6CB09}"/>
    <cellStyle name="Normal 5 2 7 2 3" xfId="11620" xr:uid="{A1C0F46E-6290-458F-AE61-09B41FE07DD0}"/>
    <cellStyle name="Normal 5 2 7 3" xfId="5193" xr:uid="{00000000-0005-0000-0000-000061190000}"/>
    <cellStyle name="Normal 5 2 7 3 2" xfId="13688" xr:uid="{49924550-9373-46CE-9487-2A73F5EDE007}"/>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2 2 2" xfId="16246" xr:uid="{7DF10BE4-DAC5-46D4-A912-061794DDEE65}"/>
    <cellStyle name="Normal 5 2 8 2 3" xfId="12033" xr:uid="{9055516A-E113-44AD-9D31-0AE984A7109C}"/>
    <cellStyle name="Normal 5 2 8 3" xfId="5606" xr:uid="{00000000-0005-0000-0000-000065190000}"/>
    <cellStyle name="Normal 5 2 8 3 2" xfId="14101" xr:uid="{5CFD7CCD-0AF0-4201-AB71-AE6DCD4F2DA8}"/>
    <cellStyle name="Normal 5 2 8 4" xfId="9888" xr:uid="{2B723B27-CE2A-417D-8B4A-A899F8BA0C26}"/>
    <cellStyle name="Normal 5 2 9" xfId="1712" xr:uid="{00000000-0005-0000-0000-000066190000}"/>
    <cellStyle name="Normal 5 2 9 2" xfId="3942" xr:uid="{00000000-0005-0000-0000-000067190000}"/>
    <cellStyle name="Normal 5 2 9 2 2" xfId="8164" xr:uid="{00000000-0005-0000-0000-000068190000}"/>
    <cellStyle name="Normal 5 2 9 2 2 2" xfId="16659" xr:uid="{42FB942C-C1CE-49F8-9F3C-9A98DF53DF51}"/>
    <cellStyle name="Normal 5 2 9 2 3" xfId="12446" xr:uid="{802B2176-0A88-423D-B978-B835B9D2B388}"/>
    <cellStyle name="Normal 5 2 9 3" xfId="6019" xr:uid="{00000000-0005-0000-0000-000069190000}"/>
    <cellStyle name="Normal 5 2 9 3 2" xfId="14514" xr:uid="{A6198C65-13B4-454E-9BEC-FA0DDE49D0CF}"/>
    <cellStyle name="Normal 5 2 9 4" xfId="10301" xr:uid="{D3D51CC9-1495-42B6-8CE7-23D655CFC997}"/>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104" xr:uid="{81718FD4-72E0-4D51-923C-B5E5ACD310E3}"/>
    <cellStyle name="Normal 5 3 10 2 3" xfId="12891" xr:uid="{2BA45E99-B27D-4E90-A391-B19BADAE08DE}"/>
    <cellStyle name="Normal 5 3 10 3" xfId="6464" xr:uid="{00000000-0005-0000-0000-00006E190000}"/>
    <cellStyle name="Normal 5 3 10 3 2" xfId="14959" xr:uid="{435EE8EA-6A8E-49A9-B8DB-AA774ED7F985}"/>
    <cellStyle name="Normal 5 3 10 4" xfId="10746" xr:uid="{E2D86EDF-068F-4604-A95C-A66C614AC4F8}"/>
    <cellStyle name="Normal 5 3 11" xfId="2594" xr:uid="{00000000-0005-0000-0000-00006F190000}"/>
    <cellStyle name="Normal 5 3 11 2" xfId="6877" xr:uid="{00000000-0005-0000-0000-000070190000}"/>
    <cellStyle name="Normal 5 3 11 2 2" xfId="15372" xr:uid="{12A0F9CC-0EE7-481C-A21C-2688D5298AB9}"/>
    <cellStyle name="Normal 5 3 11 3" xfId="11159" xr:uid="{021B8122-5DCE-4D5B-9E7C-40C90C5DA022}"/>
    <cellStyle name="Normal 5 3 12" xfId="4812" xr:uid="{00000000-0005-0000-0000-000071190000}"/>
    <cellStyle name="Normal 5 3 12 2" xfId="13307" xr:uid="{315D5270-BB8C-4ECA-9D71-750CCFAF306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308" xr:uid="{9E91A802-9B9F-4B12-9750-B47F700E015F}"/>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69" xr:uid="{69525A1A-22C5-4EF8-9B26-4ADBEF1A1C9C}"/>
    <cellStyle name="Normal 5 3 3 2 2 2 2 2 3" xfId="11656" xr:uid="{E894EFF4-B588-40F9-9850-C94A1026A5E8}"/>
    <cellStyle name="Normal 5 3 3 2 2 2 2 3" xfId="5229" xr:uid="{00000000-0005-0000-0000-00007C190000}"/>
    <cellStyle name="Normal 5 3 3 2 2 2 2 3 2" xfId="13724" xr:uid="{02675920-546D-4165-B2C1-390636A9987B}"/>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82" xr:uid="{D6D7D017-E5FA-4BAD-AC43-16D48EB21BFD}"/>
    <cellStyle name="Normal 5 3 3 2 2 2 3 2 3" xfId="12069" xr:uid="{F83B63A7-04E1-4E11-809E-C7F5C9D82FF5}"/>
    <cellStyle name="Normal 5 3 3 2 2 2 3 3" xfId="5642" xr:uid="{00000000-0005-0000-0000-000080190000}"/>
    <cellStyle name="Normal 5 3 3 2 2 2 3 3 2" xfId="14137" xr:uid="{365CB86B-1476-428B-9F57-3E0AC42773CC}"/>
    <cellStyle name="Normal 5 3 3 2 2 2 3 4" xfId="9924" xr:uid="{122182BB-32FB-4659-A515-85A76A87EF55}"/>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95" xr:uid="{67D5E415-4C7A-491D-8A84-B17065ACDF3B}"/>
    <cellStyle name="Normal 5 3 3 2 2 2 4 2 3" xfId="12482" xr:uid="{F6980B09-4860-4A6A-A836-A0C844ED52B9}"/>
    <cellStyle name="Normal 5 3 3 2 2 2 4 3" xfId="6055" xr:uid="{00000000-0005-0000-0000-000084190000}"/>
    <cellStyle name="Normal 5 3 3 2 2 2 4 3 2" xfId="14550" xr:uid="{A6037ED6-8F6E-4E28-8A15-DBF81C22245B}"/>
    <cellStyle name="Normal 5 3 3 2 2 2 4 4" xfId="10337" xr:uid="{E98A14E6-8F68-42E7-A1C6-3ED2B6BB1C11}"/>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108" xr:uid="{A139792B-09FA-4592-88BF-AE329367370C}"/>
    <cellStyle name="Normal 5 3 3 2 2 2 5 2 3" xfId="12895" xr:uid="{42C96F18-3992-4ECB-BBC0-8A92FB1D8DE0}"/>
    <cellStyle name="Normal 5 3 3 2 2 2 5 3" xfId="6468" xr:uid="{00000000-0005-0000-0000-000088190000}"/>
    <cellStyle name="Normal 5 3 3 2 2 2 5 3 2" xfId="14963" xr:uid="{8C22B4D0-8E79-4D1E-A5CB-3B6F06D92CA4}"/>
    <cellStyle name="Normal 5 3 3 2 2 2 5 4" xfId="10750" xr:uid="{41B8178B-ECA1-4C80-A5AC-ABA5B47861CA}"/>
    <cellStyle name="Normal 5 3 3 2 2 2 6" xfId="2598" xr:uid="{00000000-0005-0000-0000-000089190000}"/>
    <cellStyle name="Normal 5 3 3 2 2 2 6 2" xfId="6881" xr:uid="{00000000-0005-0000-0000-00008A190000}"/>
    <cellStyle name="Normal 5 3 3 2 2 2 6 2 2" xfId="15376" xr:uid="{C0DA87C4-CC47-489E-B6F3-7E097D3DF28D}"/>
    <cellStyle name="Normal 5 3 3 2 2 2 6 3" xfId="11163" xr:uid="{581FDE2B-D921-4343-9BDD-3AF80E68763F}"/>
    <cellStyle name="Normal 5 3 3 2 2 2 7" xfId="4816" xr:uid="{00000000-0005-0000-0000-00008B190000}"/>
    <cellStyle name="Normal 5 3 3 2 2 2 7 2" xfId="13311" xr:uid="{6F122A5B-956D-4E2F-A507-21D74E5E02BE}"/>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68" xr:uid="{0A279B4E-1029-42A5-A99E-FAA6FD0D40B2}"/>
    <cellStyle name="Normal 5 3 3 2 2 3 2 3" xfId="11655" xr:uid="{2AE41338-984F-4193-BD71-14A0A0A8FC07}"/>
    <cellStyle name="Normal 5 3 3 2 2 3 3" xfId="5228" xr:uid="{00000000-0005-0000-0000-00008F190000}"/>
    <cellStyle name="Normal 5 3 3 2 2 3 3 2" xfId="13723" xr:uid="{C65E5C03-352A-4C69-9E51-DD065FE36EFA}"/>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81" xr:uid="{5FECCFFB-71F3-492C-9A84-E24B6F38BE9D}"/>
    <cellStyle name="Normal 5 3 3 2 2 4 2 3" xfId="12068" xr:uid="{FEF2A583-6DE4-420A-9C29-6734E477A50D}"/>
    <cellStyle name="Normal 5 3 3 2 2 4 3" xfId="5641" xr:uid="{00000000-0005-0000-0000-000093190000}"/>
    <cellStyle name="Normal 5 3 3 2 2 4 3 2" xfId="14136" xr:uid="{2B81EB5B-C36E-4146-AEBB-0E4FD610FF54}"/>
    <cellStyle name="Normal 5 3 3 2 2 4 4" xfId="9923" xr:uid="{F4F2CF85-0703-4232-AF27-2430729B1D11}"/>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94" xr:uid="{C2418CA3-00EC-4067-834B-25ABC29B70A0}"/>
    <cellStyle name="Normal 5 3 3 2 2 5 2 3" xfId="12481" xr:uid="{BF505994-3D16-47FC-BCDC-944E7A12B1CB}"/>
    <cellStyle name="Normal 5 3 3 2 2 5 3" xfId="6054" xr:uid="{00000000-0005-0000-0000-000097190000}"/>
    <cellStyle name="Normal 5 3 3 2 2 5 3 2" xfId="14549" xr:uid="{3774978C-C301-4F73-8282-2907C4562B41}"/>
    <cellStyle name="Normal 5 3 3 2 2 5 4" xfId="10336" xr:uid="{5AA147E0-33C5-4F9E-8DE3-1436E317D3CB}"/>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107" xr:uid="{4FED86F3-D41F-4966-8030-97CB07643962}"/>
    <cellStyle name="Normal 5 3 3 2 2 6 2 3" xfId="12894" xr:uid="{7B0CBF21-AB3A-4F13-8132-0A90BCBD8346}"/>
    <cellStyle name="Normal 5 3 3 2 2 6 3" xfId="6467" xr:uid="{00000000-0005-0000-0000-00009B190000}"/>
    <cellStyle name="Normal 5 3 3 2 2 6 3 2" xfId="14962" xr:uid="{A0C26536-529B-4FFF-B290-00D021576A11}"/>
    <cellStyle name="Normal 5 3 3 2 2 6 4" xfId="10749" xr:uid="{4173E072-CA8F-4B7E-B2B6-E8BFA9C80863}"/>
    <cellStyle name="Normal 5 3 3 2 2 7" xfId="2597" xr:uid="{00000000-0005-0000-0000-00009C190000}"/>
    <cellStyle name="Normal 5 3 3 2 2 7 2" xfId="6880" xr:uid="{00000000-0005-0000-0000-00009D190000}"/>
    <cellStyle name="Normal 5 3 3 2 2 7 2 2" xfId="15375" xr:uid="{2A652D8D-F276-42EB-9D83-512A7800006D}"/>
    <cellStyle name="Normal 5 3 3 2 2 7 3" xfId="11162" xr:uid="{B9F7AFAD-0571-4004-89F1-B7CF6B13EC3B}"/>
    <cellStyle name="Normal 5 3 3 2 2 8" xfId="4815" xr:uid="{00000000-0005-0000-0000-00009E190000}"/>
    <cellStyle name="Normal 5 3 3 2 2 8 2" xfId="13310" xr:uid="{85E0954A-D439-4E98-9B95-DFD5384528B4}"/>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70" xr:uid="{504E54E0-1A03-4C4C-978C-759139AC02B9}"/>
    <cellStyle name="Normal 5 3 3 2 3 2 2 3" xfId="11657" xr:uid="{88E712E5-6A7A-4AD1-814E-DE002031EE58}"/>
    <cellStyle name="Normal 5 3 3 2 3 2 3" xfId="5230" xr:uid="{00000000-0005-0000-0000-0000A3190000}"/>
    <cellStyle name="Normal 5 3 3 2 3 2 3 2" xfId="13725" xr:uid="{1B8E7B04-E058-4A1C-A896-E7F3B021C995}"/>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83" xr:uid="{8FD61964-3DC5-4DDA-B1AE-42C8FB940987}"/>
    <cellStyle name="Normal 5 3 3 2 3 3 2 3" xfId="12070" xr:uid="{E18F399F-D78A-40D7-8A4A-9BFD57BB08D0}"/>
    <cellStyle name="Normal 5 3 3 2 3 3 3" xfId="5643" xr:uid="{00000000-0005-0000-0000-0000A7190000}"/>
    <cellStyle name="Normal 5 3 3 2 3 3 3 2" xfId="14138" xr:uid="{133A5EB5-CAFB-4F8D-A154-57960CDAEBA4}"/>
    <cellStyle name="Normal 5 3 3 2 3 3 4" xfId="9925" xr:uid="{9E517522-31CF-4E3E-AE58-9CA7E21514E7}"/>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96" xr:uid="{374CB4DB-D40E-4443-88FE-6F3ED3FD41D7}"/>
    <cellStyle name="Normal 5 3 3 2 3 4 2 3" xfId="12483" xr:uid="{B09D9C70-F72A-4075-98F9-1523386B6D4E}"/>
    <cellStyle name="Normal 5 3 3 2 3 4 3" xfId="6056" xr:uid="{00000000-0005-0000-0000-0000AB190000}"/>
    <cellStyle name="Normal 5 3 3 2 3 4 3 2" xfId="14551" xr:uid="{3101A100-291A-4F70-8D8A-0CE5AFDA4030}"/>
    <cellStyle name="Normal 5 3 3 2 3 4 4" xfId="10338" xr:uid="{0CC88988-5259-49C7-901A-D8FDAEEA559E}"/>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109" xr:uid="{699A840C-98EF-42C3-BD19-78DD5152B3AB}"/>
    <cellStyle name="Normal 5 3 3 2 3 5 2 3" xfId="12896" xr:uid="{9A3BC742-286E-4B51-AA8D-5938834FF96A}"/>
    <cellStyle name="Normal 5 3 3 2 3 5 3" xfId="6469" xr:uid="{00000000-0005-0000-0000-0000AF190000}"/>
    <cellStyle name="Normal 5 3 3 2 3 5 3 2" xfId="14964" xr:uid="{54A3AA79-D903-40E4-BED4-93B48F84EEF7}"/>
    <cellStyle name="Normal 5 3 3 2 3 5 4" xfId="10751" xr:uid="{58CA39E3-1BAD-4C60-B464-FBA88FE94CD6}"/>
    <cellStyle name="Normal 5 3 3 2 3 6" xfId="2599" xr:uid="{00000000-0005-0000-0000-0000B0190000}"/>
    <cellStyle name="Normal 5 3 3 2 3 6 2" xfId="6882" xr:uid="{00000000-0005-0000-0000-0000B1190000}"/>
    <cellStyle name="Normal 5 3 3 2 3 6 2 2" xfId="15377" xr:uid="{56760601-2CBA-4611-BA52-A2B8437C155F}"/>
    <cellStyle name="Normal 5 3 3 2 3 6 3" xfId="11164" xr:uid="{68AE0E88-C0E7-4180-830B-6BAAE25FE2BC}"/>
    <cellStyle name="Normal 5 3 3 2 3 7" xfId="4817" xr:uid="{00000000-0005-0000-0000-0000B2190000}"/>
    <cellStyle name="Normal 5 3 3 2 3 7 2" xfId="13312" xr:uid="{B336D145-2EDC-4BAA-B49A-00891554C6E7}"/>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67" xr:uid="{ECCF8F28-BD72-4171-B428-6810FF216538}"/>
    <cellStyle name="Normal 5 3 3 2 4 2 3" xfId="11654" xr:uid="{2388A605-8147-461A-A36A-F9BDB46EA764}"/>
    <cellStyle name="Normal 5 3 3 2 4 3" xfId="5227" xr:uid="{00000000-0005-0000-0000-0000B6190000}"/>
    <cellStyle name="Normal 5 3 3 2 4 3 2" xfId="13722" xr:uid="{BA69BC7F-C536-4776-AA9B-C9401D444757}"/>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80" xr:uid="{12585C38-CD21-4030-95EA-FFEFCE3F9135}"/>
    <cellStyle name="Normal 5 3 3 2 5 2 3" xfId="12067" xr:uid="{962874AA-5428-40B0-9F76-1F51EA53A62C}"/>
    <cellStyle name="Normal 5 3 3 2 5 3" xfId="5640" xr:uid="{00000000-0005-0000-0000-0000BA190000}"/>
    <cellStyle name="Normal 5 3 3 2 5 3 2" xfId="14135" xr:uid="{BE75FED3-216E-465E-BF0E-96BC85A0B9C1}"/>
    <cellStyle name="Normal 5 3 3 2 5 4" xfId="9922" xr:uid="{1F686D01-6B7D-4642-AA1E-9648511AC999}"/>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93" xr:uid="{B45DD2CA-71D6-4320-BFFE-2474D2BA99C7}"/>
    <cellStyle name="Normal 5 3 3 2 6 2 3" xfId="12480" xr:uid="{01A5D2A1-B3E4-44B3-A75C-E09DB06CCEFE}"/>
    <cellStyle name="Normal 5 3 3 2 6 3" xfId="6053" xr:uid="{00000000-0005-0000-0000-0000BE190000}"/>
    <cellStyle name="Normal 5 3 3 2 6 3 2" xfId="14548" xr:uid="{D0C77829-8B80-4A03-B898-4EE4F9FAEFDF}"/>
    <cellStyle name="Normal 5 3 3 2 6 4" xfId="10335" xr:uid="{578F22FA-BFD1-467F-BAA1-5749C4C86BF3}"/>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106" xr:uid="{8B5A0866-0806-4159-BB3C-3265C8D2CF48}"/>
    <cellStyle name="Normal 5 3 3 2 7 2 3" xfId="12893" xr:uid="{C3D36A37-1925-43BF-8AB9-C4D962E4A419}"/>
    <cellStyle name="Normal 5 3 3 2 7 3" xfId="6466" xr:uid="{00000000-0005-0000-0000-0000C2190000}"/>
    <cellStyle name="Normal 5 3 3 2 7 3 2" xfId="14961" xr:uid="{DFDFCF56-04E5-46ED-A748-A5EC82D976C8}"/>
    <cellStyle name="Normal 5 3 3 2 7 4" xfId="10748" xr:uid="{438D2CF2-75EF-457C-9A9E-377C19031762}"/>
    <cellStyle name="Normal 5 3 3 2 8" xfId="2596" xr:uid="{00000000-0005-0000-0000-0000C3190000}"/>
    <cellStyle name="Normal 5 3 3 2 8 2" xfId="6879" xr:uid="{00000000-0005-0000-0000-0000C4190000}"/>
    <cellStyle name="Normal 5 3 3 2 8 2 2" xfId="15374" xr:uid="{9B314CDA-D7CE-414C-B60B-A28E248302FD}"/>
    <cellStyle name="Normal 5 3 3 2 8 3" xfId="11161" xr:uid="{CAF2D6EE-1D9E-42E4-A0A5-3D30F73831C9}"/>
    <cellStyle name="Normal 5 3 3 2 9" xfId="4814" xr:uid="{00000000-0005-0000-0000-0000C5190000}"/>
    <cellStyle name="Normal 5 3 3 2 9 2" xfId="13309" xr:uid="{A4E96310-7593-48FC-8B7E-8F0F55AF504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72" xr:uid="{BE30A143-97E1-4791-9212-F2CF09D824E5}"/>
    <cellStyle name="Normal 5 3 3 3 2 2 2 3" xfId="11659" xr:uid="{59B11A9D-8347-4E72-9F8A-F68F62DFAF32}"/>
    <cellStyle name="Normal 5 3 3 3 2 2 3" xfId="5232" xr:uid="{00000000-0005-0000-0000-0000CB190000}"/>
    <cellStyle name="Normal 5 3 3 3 2 2 3 2" xfId="13727" xr:uid="{D863F21E-08BC-4568-9BD1-06E107B4F389}"/>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85" xr:uid="{BD51DBBA-7E2A-4A8E-9934-5DFE0A9C9FFE}"/>
    <cellStyle name="Normal 5 3 3 3 2 3 2 3" xfId="12072" xr:uid="{A4031EA5-9F16-4036-8182-94527571116E}"/>
    <cellStyle name="Normal 5 3 3 3 2 3 3" xfId="5645" xr:uid="{00000000-0005-0000-0000-0000CF190000}"/>
    <cellStyle name="Normal 5 3 3 3 2 3 3 2" xfId="14140" xr:uid="{5FCE1B6C-251F-455B-BCE8-1885F94E5E9F}"/>
    <cellStyle name="Normal 5 3 3 3 2 3 4" xfId="9927" xr:uid="{5F1DF218-FF9D-46B1-812F-D31C1D9E03C6}"/>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98" xr:uid="{0B4C1A31-56A3-4486-B038-C93A340825A5}"/>
    <cellStyle name="Normal 5 3 3 3 2 4 2 3" xfId="12485" xr:uid="{BB5CCC7E-A548-433B-A09A-86488265D151}"/>
    <cellStyle name="Normal 5 3 3 3 2 4 3" xfId="6058" xr:uid="{00000000-0005-0000-0000-0000D3190000}"/>
    <cellStyle name="Normal 5 3 3 3 2 4 3 2" xfId="14553" xr:uid="{05EC4482-E305-42E6-B748-D81736E20404}"/>
    <cellStyle name="Normal 5 3 3 3 2 4 4" xfId="10340" xr:uid="{B4F4CFFF-476C-49DA-AE51-B37B51FF3F9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111" xr:uid="{ADC4C4CB-6AFC-4FA0-9066-502088C2F7BF}"/>
    <cellStyle name="Normal 5 3 3 3 2 5 2 3" xfId="12898" xr:uid="{8891E193-8541-4978-BC78-343F4AF1DCEE}"/>
    <cellStyle name="Normal 5 3 3 3 2 5 3" xfId="6471" xr:uid="{00000000-0005-0000-0000-0000D7190000}"/>
    <cellStyle name="Normal 5 3 3 3 2 5 3 2" xfId="14966" xr:uid="{54BA4C65-E420-46E6-B3EB-2E0155FD55F9}"/>
    <cellStyle name="Normal 5 3 3 3 2 5 4" xfId="10753" xr:uid="{E992B99B-F240-4118-B751-B68F8F8A23B6}"/>
    <cellStyle name="Normal 5 3 3 3 2 6" xfId="2601" xr:uid="{00000000-0005-0000-0000-0000D8190000}"/>
    <cellStyle name="Normal 5 3 3 3 2 6 2" xfId="6884" xr:uid="{00000000-0005-0000-0000-0000D9190000}"/>
    <cellStyle name="Normal 5 3 3 3 2 6 2 2" xfId="15379" xr:uid="{9B9DCE64-D658-48D4-BDF4-A9C5699C1E21}"/>
    <cellStyle name="Normal 5 3 3 3 2 6 3" xfId="11166" xr:uid="{D323622A-FBEE-4A9E-9AE5-9EC96E8996EB}"/>
    <cellStyle name="Normal 5 3 3 3 2 7" xfId="4819" xr:uid="{00000000-0005-0000-0000-0000DA190000}"/>
    <cellStyle name="Normal 5 3 3 3 2 7 2" xfId="13314" xr:uid="{9211A1F5-3792-495E-B060-5852BCD831A7}"/>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71" xr:uid="{1B59BE30-A97F-4EF5-AC6A-FCF71BCE1F70}"/>
    <cellStyle name="Normal 5 3 3 3 3 2 3" xfId="11658" xr:uid="{46CC213A-5623-4423-8FBF-45821F92EE7E}"/>
    <cellStyle name="Normal 5 3 3 3 3 3" xfId="5231" xr:uid="{00000000-0005-0000-0000-0000DE190000}"/>
    <cellStyle name="Normal 5 3 3 3 3 3 2" xfId="13726" xr:uid="{060228E5-744D-4319-BFEF-0241EDF26F1E}"/>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84" xr:uid="{C6DA269A-B3DA-4537-A8D2-60BE9BC36E9A}"/>
    <cellStyle name="Normal 5 3 3 3 4 2 3" xfId="12071" xr:uid="{05D94ECB-207C-408A-8B4B-14487BF172E0}"/>
    <cellStyle name="Normal 5 3 3 3 4 3" xfId="5644" xr:uid="{00000000-0005-0000-0000-0000E2190000}"/>
    <cellStyle name="Normal 5 3 3 3 4 3 2" xfId="14139" xr:uid="{E264492E-DFCB-4C80-B9FF-A58A8E5B45F3}"/>
    <cellStyle name="Normal 5 3 3 3 4 4" xfId="9926" xr:uid="{3511A3D9-FB11-4E67-B982-43614C54E323}"/>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97" xr:uid="{77B800EF-D7A3-476C-910F-4D88A4DB8D2B}"/>
    <cellStyle name="Normal 5 3 3 3 5 2 3" xfId="12484" xr:uid="{9B49ABAC-BA3E-41F6-9AC3-4674D6B340B4}"/>
    <cellStyle name="Normal 5 3 3 3 5 3" xfId="6057" xr:uid="{00000000-0005-0000-0000-0000E6190000}"/>
    <cellStyle name="Normal 5 3 3 3 5 3 2" xfId="14552" xr:uid="{FD4123D3-16B7-42DD-A031-55A1A1D98883}"/>
    <cellStyle name="Normal 5 3 3 3 5 4" xfId="10339" xr:uid="{EF41EF6D-3438-404A-9F16-0516F2CA6219}"/>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110" xr:uid="{237C0491-4B42-4BC6-AF46-11EDF679BD55}"/>
    <cellStyle name="Normal 5 3 3 3 6 2 3" xfId="12897" xr:uid="{6A37B7B1-B4C0-4700-82F2-ED94AE94C8ED}"/>
    <cellStyle name="Normal 5 3 3 3 6 3" xfId="6470" xr:uid="{00000000-0005-0000-0000-0000EA190000}"/>
    <cellStyle name="Normal 5 3 3 3 6 3 2" xfId="14965" xr:uid="{A068F14A-993E-4CA2-946F-C1A5575F53E2}"/>
    <cellStyle name="Normal 5 3 3 3 6 4" xfId="10752" xr:uid="{BFBAE8B7-4D4B-4B5C-A361-48B7CFC44A6A}"/>
    <cellStyle name="Normal 5 3 3 3 7" xfId="2600" xr:uid="{00000000-0005-0000-0000-0000EB190000}"/>
    <cellStyle name="Normal 5 3 3 3 7 2" xfId="6883" xr:uid="{00000000-0005-0000-0000-0000EC190000}"/>
    <cellStyle name="Normal 5 3 3 3 7 2 2" xfId="15378" xr:uid="{53C9D10E-62B5-411D-A00B-A94AC5254F42}"/>
    <cellStyle name="Normal 5 3 3 3 7 3" xfId="11165" xr:uid="{DA62BF22-80E5-4851-98B6-D911E7152519}"/>
    <cellStyle name="Normal 5 3 3 3 8" xfId="4818" xr:uid="{00000000-0005-0000-0000-0000ED190000}"/>
    <cellStyle name="Normal 5 3 3 3 8 2" xfId="13313" xr:uid="{2CBAE688-0E35-4591-B6B7-6DB979EDFD7F}"/>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73" xr:uid="{8C6D80E1-8012-47E1-A801-BB9042D43FEC}"/>
    <cellStyle name="Normal 5 3 3 4 2 2 3" xfId="11660" xr:uid="{F9C5873B-42DD-42EF-A4E8-9BE158E1E8DD}"/>
    <cellStyle name="Normal 5 3 3 4 2 3" xfId="5233" xr:uid="{00000000-0005-0000-0000-0000F2190000}"/>
    <cellStyle name="Normal 5 3 3 4 2 3 2" xfId="13728" xr:uid="{EA3C709D-7557-40B0-A237-A4C8731954D5}"/>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86" xr:uid="{ABBF3F53-6AF4-4577-A957-939DF8C6DCDD}"/>
    <cellStyle name="Normal 5 3 3 4 3 2 3" xfId="12073" xr:uid="{1AA2A50F-C5FC-4524-9B9B-00D9046D7F83}"/>
    <cellStyle name="Normal 5 3 3 4 3 3" xfId="5646" xr:uid="{00000000-0005-0000-0000-0000F6190000}"/>
    <cellStyle name="Normal 5 3 3 4 3 3 2" xfId="14141" xr:uid="{1B1B5D9A-7C73-43E1-95B1-FAC50EA44BC9}"/>
    <cellStyle name="Normal 5 3 3 4 3 4" xfId="9928" xr:uid="{8132BE11-4F5F-4059-BFF0-138A15FBF41A}"/>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99" xr:uid="{498D2609-DC65-4E96-A8D8-1A9093F3A2CE}"/>
    <cellStyle name="Normal 5 3 3 4 4 2 3" xfId="12486" xr:uid="{D6FDF203-E3ED-444A-B46E-1381CF6712B2}"/>
    <cellStyle name="Normal 5 3 3 4 4 3" xfId="6059" xr:uid="{00000000-0005-0000-0000-0000FA190000}"/>
    <cellStyle name="Normal 5 3 3 4 4 3 2" xfId="14554" xr:uid="{8CF4214B-E6CB-4321-9683-C56F7C2BD58A}"/>
    <cellStyle name="Normal 5 3 3 4 4 4" xfId="10341" xr:uid="{2BCA1CBC-92CA-4A0D-AB56-3F59C0876610}"/>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112" xr:uid="{F0634859-612C-46EB-877F-1FD4A416BE5D}"/>
    <cellStyle name="Normal 5 3 3 4 5 2 3" xfId="12899" xr:uid="{D7ED61F2-192B-4072-844C-5B699D129784}"/>
    <cellStyle name="Normal 5 3 3 4 5 3" xfId="6472" xr:uid="{00000000-0005-0000-0000-0000FE190000}"/>
    <cellStyle name="Normal 5 3 3 4 5 3 2" xfId="14967" xr:uid="{810B087F-E4D6-4523-9E8F-3A7ADB171E79}"/>
    <cellStyle name="Normal 5 3 3 4 5 4" xfId="10754" xr:uid="{56EA6B6C-F639-4476-8C95-F79E1AE24335}"/>
    <cellStyle name="Normal 5 3 3 4 6" xfId="2602" xr:uid="{00000000-0005-0000-0000-0000FF190000}"/>
    <cellStyle name="Normal 5 3 3 4 6 2" xfId="6885" xr:uid="{00000000-0005-0000-0000-0000001A0000}"/>
    <cellStyle name="Normal 5 3 3 4 6 2 2" xfId="15380" xr:uid="{6C31B38B-7FDF-41E8-A883-DEAF70102178}"/>
    <cellStyle name="Normal 5 3 3 4 6 3" xfId="11167" xr:uid="{0DD7F0F7-D1D9-465F-87BB-21ABC50C8B79}"/>
    <cellStyle name="Normal 5 3 3 4 7" xfId="4820" xr:uid="{00000000-0005-0000-0000-0000011A0000}"/>
    <cellStyle name="Normal 5 3 3 4 7 2" xfId="13315" xr:uid="{6C5DEBF7-C076-4DB7-9FEC-518F8E025CD6}"/>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2 2 2" xfId="15866" xr:uid="{F68C9098-6B49-4B6A-91F6-EB6CD08A9964}"/>
    <cellStyle name="Normal 5 3 3 5 2 3" xfId="11653" xr:uid="{D1F5E149-6CF4-499C-B1B9-ECF0C60D9864}"/>
    <cellStyle name="Normal 5 3 3 5 3" xfId="5226" xr:uid="{00000000-0005-0000-0000-0000051A0000}"/>
    <cellStyle name="Normal 5 3 3 5 3 2" xfId="13721" xr:uid="{E2DCB3E4-F4C8-424C-AF1C-4E3D439173F8}"/>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2 2 2" xfId="16279" xr:uid="{29597C63-2D44-470C-B8B3-F29E7C0D899B}"/>
    <cellStyle name="Normal 5 3 3 6 2 3" xfId="12066" xr:uid="{2A9E714C-47D8-4E46-A987-99AD8D752407}"/>
    <cellStyle name="Normal 5 3 3 6 3" xfId="5639" xr:uid="{00000000-0005-0000-0000-0000091A0000}"/>
    <cellStyle name="Normal 5 3 3 6 3 2" xfId="14134" xr:uid="{47FB22BE-19CA-4921-B12D-233CCBFD97D6}"/>
    <cellStyle name="Normal 5 3 3 6 4" xfId="9921" xr:uid="{9A28D935-0A90-49BA-AFD6-EB77F10EE42D}"/>
    <cellStyle name="Normal 5 3 3 7" xfId="1745" xr:uid="{00000000-0005-0000-0000-00000A1A0000}"/>
    <cellStyle name="Normal 5 3 3 7 2" xfId="3975" xr:uid="{00000000-0005-0000-0000-00000B1A0000}"/>
    <cellStyle name="Normal 5 3 3 7 2 2" xfId="8197" xr:uid="{00000000-0005-0000-0000-00000C1A0000}"/>
    <cellStyle name="Normal 5 3 3 7 2 2 2" xfId="16692" xr:uid="{0237D66A-D349-4326-AD23-C60C249F97F7}"/>
    <cellStyle name="Normal 5 3 3 7 2 3" xfId="12479" xr:uid="{69129FB0-D18B-4E2C-B0E6-B1D587B4ED53}"/>
    <cellStyle name="Normal 5 3 3 7 3" xfId="6052" xr:uid="{00000000-0005-0000-0000-00000D1A0000}"/>
    <cellStyle name="Normal 5 3 3 7 3 2" xfId="14547" xr:uid="{3437E502-198E-4B08-B76E-EAC853DE9B7F}"/>
    <cellStyle name="Normal 5 3 3 7 4" xfId="10334" xr:uid="{F7D29A57-5BA2-444F-80B9-EDC2E795DE77}"/>
    <cellStyle name="Normal 5 3 3 8" xfId="2159" xr:uid="{00000000-0005-0000-0000-00000E1A0000}"/>
    <cellStyle name="Normal 5 3 3 8 2" xfId="4388" xr:uid="{00000000-0005-0000-0000-00000F1A0000}"/>
    <cellStyle name="Normal 5 3 3 8 2 2" xfId="8610" xr:uid="{00000000-0005-0000-0000-0000101A0000}"/>
    <cellStyle name="Normal 5 3 3 8 2 2 2" xfId="17105" xr:uid="{F3308768-556E-4A31-B34C-603624EC6ED0}"/>
    <cellStyle name="Normal 5 3 3 8 2 3" xfId="12892" xr:uid="{8D920730-2AA1-488E-AD3B-CB5D127F8172}"/>
    <cellStyle name="Normal 5 3 3 8 3" xfId="6465" xr:uid="{00000000-0005-0000-0000-0000111A0000}"/>
    <cellStyle name="Normal 5 3 3 8 3 2" xfId="14960" xr:uid="{638C21F4-91CE-48F8-B6D5-DF605C9AD170}"/>
    <cellStyle name="Normal 5 3 3 8 4" xfId="10747" xr:uid="{AAAAEB88-7B2D-4977-B917-6F28CF6056E4}"/>
    <cellStyle name="Normal 5 3 3 9" xfId="2595" xr:uid="{00000000-0005-0000-0000-0000121A0000}"/>
    <cellStyle name="Normal 5 3 3 9 2" xfId="6878" xr:uid="{00000000-0005-0000-0000-0000131A0000}"/>
    <cellStyle name="Normal 5 3 3 9 2 2" xfId="15373" xr:uid="{5D6DB3B6-D4A8-4CBA-8E81-D3C1F8240E4C}"/>
    <cellStyle name="Normal 5 3 3 9 3" xfId="11160" xr:uid="{732FF11A-7EE4-4A1A-8661-430723023DAA}"/>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76" xr:uid="{B2AAD84A-EC2A-4DBC-A3C1-2E1CAD068CEA}"/>
    <cellStyle name="Normal 5 3 4 2 2 2 2 3" xfId="11663" xr:uid="{2906C4AA-5745-47CF-9028-1DAC653023BB}"/>
    <cellStyle name="Normal 5 3 4 2 2 2 3" xfId="5236" xr:uid="{00000000-0005-0000-0000-00001A1A0000}"/>
    <cellStyle name="Normal 5 3 4 2 2 2 3 2" xfId="13731" xr:uid="{D5CFFDC3-48EE-4A59-B794-672B51CEC588}"/>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89" xr:uid="{10DB1CC9-8D43-414D-881A-D153B62E65F7}"/>
    <cellStyle name="Normal 5 3 4 2 2 3 2 3" xfId="12076" xr:uid="{246C0D68-8D6F-4E12-9E27-066F39AFD2D1}"/>
    <cellStyle name="Normal 5 3 4 2 2 3 3" xfId="5649" xr:uid="{00000000-0005-0000-0000-00001E1A0000}"/>
    <cellStyle name="Normal 5 3 4 2 2 3 3 2" xfId="14144" xr:uid="{F771D0BB-A21E-4FF1-9294-095C6A65E4CC}"/>
    <cellStyle name="Normal 5 3 4 2 2 3 4" xfId="9931" xr:uid="{98CC88B0-E237-4A4D-B399-C84F09687F41}"/>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702" xr:uid="{FA0C6B48-10C7-4F46-82BE-022490D30F3B}"/>
    <cellStyle name="Normal 5 3 4 2 2 4 2 3" xfId="12489" xr:uid="{9E21B5C2-6C07-4EF1-B4E1-269A49831F9B}"/>
    <cellStyle name="Normal 5 3 4 2 2 4 3" xfId="6062" xr:uid="{00000000-0005-0000-0000-0000221A0000}"/>
    <cellStyle name="Normal 5 3 4 2 2 4 3 2" xfId="14557" xr:uid="{11566084-DE08-41C6-BE32-4D1786152034}"/>
    <cellStyle name="Normal 5 3 4 2 2 4 4" xfId="10344" xr:uid="{99D5CB39-EB65-4E0C-8DF4-F9ACE71F197D}"/>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115" xr:uid="{5EE11D3B-74E3-4D88-8716-094354D686C7}"/>
    <cellStyle name="Normal 5 3 4 2 2 5 2 3" xfId="12902" xr:uid="{A238435C-5F28-4375-8D43-08175EFBDA7E}"/>
    <cellStyle name="Normal 5 3 4 2 2 5 3" xfId="6475" xr:uid="{00000000-0005-0000-0000-0000261A0000}"/>
    <cellStyle name="Normal 5 3 4 2 2 5 3 2" xfId="14970" xr:uid="{82F27264-DB9F-4123-A52F-BDA52D8530D8}"/>
    <cellStyle name="Normal 5 3 4 2 2 5 4" xfId="10757" xr:uid="{7B996CCD-1264-4AC9-95ED-D3F65493ECA3}"/>
    <cellStyle name="Normal 5 3 4 2 2 6" xfId="2605" xr:uid="{00000000-0005-0000-0000-0000271A0000}"/>
    <cellStyle name="Normal 5 3 4 2 2 6 2" xfId="6888" xr:uid="{00000000-0005-0000-0000-0000281A0000}"/>
    <cellStyle name="Normal 5 3 4 2 2 6 2 2" xfId="15383" xr:uid="{36ADF065-E522-4C80-96D5-FEBF10FCB1D5}"/>
    <cellStyle name="Normal 5 3 4 2 2 6 3" xfId="11170" xr:uid="{F8C3C82D-0C67-4139-818E-81840081541A}"/>
    <cellStyle name="Normal 5 3 4 2 2 7" xfId="4823" xr:uid="{00000000-0005-0000-0000-0000291A0000}"/>
    <cellStyle name="Normal 5 3 4 2 2 7 2" xfId="13318" xr:uid="{E942CE7A-A112-4C6A-AF24-52612D7C8A6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75" xr:uid="{5829087B-76DD-48D6-A164-6279CAAF6230}"/>
    <cellStyle name="Normal 5 3 4 2 3 2 3" xfId="11662" xr:uid="{ECA72BB3-4886-40EA-AC9F-5C0E1A22F20C}"/>
    <cellStyle name="Normal 5 3 4 2 3 3" xfId="5235" xr:uid="{00000000-0005-0000-0000-00002D1A0000}"/>
    <cellStyle name="Normal 5 3 4 2 3 3 2" xfId="13730" xr:uid="{7435F067-90FD-4C01-BAEC-423A4BCD648F}"/>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88" xr:uid="{D35E562D-C99C-4913-90EB-8A657A885BCD}"/>
    <cellStyle name="Normal 5 3 4 2 4 2 3" xfId="12075" xr:uid="{D8D76500-2389-4464-8C59-0659F068ECA0}"/>
    <cellStyle name="Normal 5 3 4 2 4 3" xfId="5648" xr:uid="{00000000-0005-0000-0000-0000311A0000}"/>
    <cellStyle name="Normal 5 3 4 2 4 3 2" xfId="14143" xr:uid="{96F7AE17-B786-4D57-A8F9-B240772ADA89}"/>
    <cellStyle name="Normal 5 3 4 2 4 4" xfId="9930" xr:uid="{B9A3D068-4616-436C-86C9-27051E9F119D}"/>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701" xr:uid="{DFCED9F7-1588-4236-AD1C-014AF325A8A2}"/>
    <cellStyle name="Normal 5 3 4 2 5 2 3" xfId="12488" xr:uid="{756B8E9A-BF06-4787-846E-378A3BEA0513}"/>
    <cellStyle name="Normal 5 3 4 2 5 3" xfId="6061" xr:uid="{00000000-0005-0000-0000-0000351A0000}"/>
    <cellStyle name="Normal 5 3 4 2 5 3 2" xfId="14556" xr:uid="{52D9A7AC-50A5-4352-A51E-62B1B752F1BF}"/>
    <cellStyle name="Normal 5 3 4 2 5 4" xfId="10343" xr:uid="{7C2C543D-9F20-431C-9ECF-E43260B2464F}"/>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114" xr:uid="{4BBADD38-DBFE-49B8-B939-271710796A8A}"/>
    <cellStyle name="Normal 5 3 4 2 6 2 3" xfId="12901" xr:uid="{B028953E-DE78-4824-A2BB-83958E7DB0FD}"/>
    <cellStyle name="Normal 5 3 4 2 6 3" xfId="6474" xr:uid="{00000000-0005-0000-0000-0000391A0000}"/>
    <cellStyle name="Normal 5 3 4 2 6 3 2" xfId="14969" xr:uid="{9BD1E5ED-4E14-4160-A5E9-ECD0431368AA}"/>
    <cellStyle name="Normal 5 3 4 2 6 4" xfId="10756" xr:uid="{CB4CDAF7-DB89-458E-8274-099AE2B6BA91}"/>
    <cellStyle name="Normal 5 3 4 2 7" xfId="2604" xr:uid="{00000000-0005-0000-0000-00003A1A0000}"/>
    <cellStyle name="Normal 5 3 4 2 7 2" xfId="6887" xr:uid="{00000000-0005-0000-0000-00003B1A0000}"/>
    <cellStyle name="Normal 5 3 4 2 7 2 2" xfId="15382" xr:uid="{01446DB9-1185-4F48-B9C1-25E7A84518D6}"/>
    <cellStyle name="Normal 5 3 4 2 7 3" xfId="11169" xr:uid="{FDFB4397-8966-4C25-8472-ABADEC6DD4CF}"/>
    <cellStyle name="Normal 5 3 4 2 8" xfId="4822" xr:uid="{00000000-0005-0000-0000-00003C1A0000}"/>
    <cellStyle name="Normal 5 3 4 2 8 2" xfId="13317" xr:uid="{96739246-9DEF-4C91-BB8E-F206DC434517}"/>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77" xr:uid="{C83171AC-3DFD-495E-B871-CACC2227F91B}"/>
    <cellStyle name="Normal 5 3 4 3 2 2 3" xfId="11664" xr:uid="{4EB30230-ECA8-4737-A9A7-1BB2C511B25A}"/>
    <cellStyle name="Normal 5 3 4 3 2 3" xfId="5237" xr:uid="{00000000-0005-0000-0000-0000411A0000}"/>
    <cellStyle name="Normal 5 3 4 3 2 3 2" xfId="13732" xr:uid="{07A17C64-0C24-4193-88B5-553B93095C5E}"/>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90" xr:uid="{947C8A72-19F5-42BA-8ED8-9308D410B08C}"/>
    <cellStyle name="Normal 5 3 4 3 3 2 3" xfId="12077" xr:uid="{7763FE45-0711-4A23-B674-FFBAB35C1CDF}"/>
    <cellStyle name="Normal 5 3 4 3 3 3" xfId="5650" xr:uid="{00000000-0005-0000-0000-0000451A0000}"/>
    <cellStyle name="Normal 5 3 4 3 3 3 2" xfId="14145" xr:uid="{9C4163A2-D95A-4559-B33C-3A40E9AF7A09}"/>
    <cellStyle name="Normal 5 3 4 3 3 4" xfId="9932" xr:uid="{C4EFDDD3-D847-4077-B90C-F7055B5899E6}"/>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703" xr:uid="{A3EA68CD-12D5-4638-BFA2-AF0A7C92286E}"/>
    <cellStyle name="Normal 5 3 4 3 4 2 3" xfId="12490" xr:uid="{545A9C85-E4BD-493D-B5D8-8330EC4CDD42}"/>
    <cellStyle name="Normal 5 3 4 3 4 3" xfId="6063" xr:uid="{00000000-0005-0000-0000-0000491A0000}"/>
    <cellStyle name="Normal 5 3 4 3 4 3 2" xfId="14558" xr:uid="{8E36D561-1C0A-4AC7-B941-43B943416A44}"/>
    <cellStyle name="Normal 5 3 4 3 4 4" xfId="10345" xr:uid="{A75D5D9D-4EB5-4FF8-8EEB-A44DAA756D07}"/>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116" xr:uid="{4BAF939F-DEAD-4776-9E46-1AD34A9FA0FA}"/>
    <cellStyle name="Normal 5 3 4 3 5 2 3" xfId="12903" xr:uid="{1B8696B4-6865-495D-A7A8-95BD59B757A1}"/>
    <cellStyle name="Normal 5 3 4 3 5 3" xfId="6476" xr:uid="{00000000-0005-0000-0000-00004D1A0000}"/>
    <cellStyle name="Normal 5 3 4 3 5 3 2" xfId="14971" xr:uid="{54FCD548-3781-4385-881C-C011CED824C3}"/>
    <cellStyle name="Normal 5 3 4 3 5 4" xfId="10758" xr:uid="{0CDE7073-25A7-4078-B862-7AAADA50186C}"/>
    <cellStyle name="Normal 5 3 4 3 6" xfId="2606" xr:uid="{00000000-0005-0000-0000-00004E1A0000}"/>
    <cellStyle name="Normal 5 3 4 3 6 2" xfId="6889" xr:uid="{00000000-0005-0000-0000-00004F1A0000}"/>
    <cellStyle name="Normal 5 3 4 3 6 2 2" xfId="15384" xr:uid="{53AD330F-0D85-417E-BB9B-027315F5A0A0}"/>
    <cellStyle name="Normal 5 3 4 3 6 3" xfId="11171" xr:uid="{0320E5F1-EEAF-4539-A1BA-BB11191A3857}"/>
    <cellStyle name="Normal 5 3 4 3 7" xfId="4824" xr:uid="{00000000-0005-0000-0000-0000501A0000}"/>
    <cellStyle name="Normal 5 3 4 3 7 2" xfId="13319" xr:uid="{1D9734CD-DCB1-45A7-96E6-E654C4D5D069}"/>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2 2 2" xfId="15874" xr:uid="{D109788D-BB7F-460E-92DC-5751142EED3F}"/>
    <cellStyle name="Normal 5 3 4 4 2 3" xfId="11661" xr:uid="{97D3D2D0-DC88-47CC-9D9F-E46439A690BA}"/>
    <cellStyle name="Normal 5 3 4 4 3" xfId="5234" xr:uid="{00000000-0005-0000-0000-0000541A0000}"/>
    <cellStyle name="Normal 5 3 4 4 3 2" xfId="13729" xr:uid="{22E814B1-E1F3-4816-B5D5-E8652F9AB721}"/>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2 2 2" xfId="16287" xr:uid="{81B60297-DE1E-4447-81D4-AFA9648D3564}"/>
    <cellStyle name="Normal 5 3 4 5 2 3" xfId="12074" xr:uid="{EC86764C-E022-400B-8890-628866938D17}"/>
    <cellStyle name="Normal 5 3 4 5 3" xfId="5647" xr:uid="{00000000-0005-0000-0000-0000581A0000}"/>
    <cellStyle name="Normal 5 3 4 5 3 2" xfId="14142" xr:uid="{EE766F00-F7EA-4302-A702-DCC3304CB3EB}"/>
    <cellStyle name="Normal 5 3 4 5 4" xfId="9929" xr:uid="{5A0BF63F-8F6A-46DC-9823-25C6E2E9CAF8}"/>
    <cellStyle name="Normal 5 3 4 6" xfId="1753" xr:uid="{00000000-0005-0000-0000-0000591A0000}"/>
    <cellStyle name="Normal 5 3 4 6 2" xfId="3983" xr:uid="{00000000-0005-0000-0000-00005A1A0000}"/>
    <cellStyle name="Normal 5 3 4 6 2 2" xfId="8205" xr:uid="{00000000-0005-0000-0000-00005B1A0000}"/>
    <cellStyle name="Normal 5 3 4 6 2 2 2" xfId="16700" xr:uid="{34E1DDFC-BD0D-4C63-96E1-B2A37156F4D7}"/>
    <cellStyle name="Normal 5 3 4 6 2 3" xfId="12487" xr:uid="{223E0567-3FC0-405E-87E7-B37589B8C53B}"/>
    <cellStyle name="Normal 5 3 4 6 3" xfId="6060" xr:uid="{00000000-0005-0000-0000-00005C1A0000}"/>
    <cellStyle name="Normal 5 3 4 6 3 2" xfId="14555" xr:uid="{FC189A9E-D28D-4EF1-87D9-BADEE19898C9}"/>
    <cellStyle name="Normal 5 3 4 6 4" xfId="10342" xr:uid="{F8DCB352-D24F-4BB0-835A-DA6C2EF35D1D}"/>
    <cellStyle name="Normal 5 3 4 7" xfId="2167" xr:uid="{00000000-0005-0000-0000-00005D1A0000}"/>
    <cellStyle name="Normal 5 3 4 7 2" xfId="4396" xr:uid="{00000000-0005-0000-0000-00005E1A0000}"/>
    <cellStyle name="Normal 5 3 4 7 2 2" xfId="8618" xr:uid="{00000000-0005-0000-0000-00005F1A0000}"/>
    <cellStyle name="Normal 5 3 4 7 2 2 2" xfId="17113" xr:uid="{F54C2361-6B1E-4A90-A89A-1DFEEDCF0752}"/>
    <cellStyle name="Normal 5 3 4 7 2 3" xfId="12900" xr:uid="{AB9B494C-03D8-4638-B3CD-B1466F422B40}"/>
    <cellStyle name="Normal 5 3 4 7 3" xfId="6473" xr:uid="{00000000-0005-0000-0000-0000601A0000}"/>
    <cellStyle name="Normal 5 3 4 7 3 2" xfId="14968" xr:uid="{FDD1D79C-8334-4B03-A542-9146B6E194E1}"/>
    <cellStyle name="Normal 5 3 4 7 4" xfId="10755" xr:uid="{B6143BE0-93BA-47D1-BEB0-E24202FC23AD}"/>
    <cellStyle name="Normal 5 3 4 8" xfId="2603" xr:uid="{00000000-0005-0000-0000-0000611A0000}"/>
    <cellStyle name="Normal 5 3 4 8 2" xfId="6886" xr:uid="{00000000-0005-0000-0000-0000621A0000}"/>
    <cellStyle name="Normal 5 3 4 8 2 2" xfId="15381" xr:uid="{61B2BD78-F589-4E32-9B54-D27946524632}"/>
    <cellStyle name="Normal 5 3 4 8 3" xfId="11168" xr:uid="{E1966772-D2BD-44BD-9949-5C9EF602D40C}"/>
    <cellStyle name="Normal 5 3 4 9" xfId="4821" xr:uid="{00000000-0005-0000-0000-0000631A0000}"/>
    <cellStyle name="Normal 5 3 4 9 2" xfId="13316" xr:uid="{EA186EA4-7453-4AC4-B3D2-0E16785042C1}"/>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79" xr:uid="{9E40B097-DB5A-483E-88AE-20E607238ADC}"/>
    <cellStyle name="Normal 5 3 5 2 2 2 3" xfId="11666" xr:uid="{C47D429E-F2BB-49A9-96AB-D2C8F32CDFBC}"/>
    <cellStyle name="Normal 5 3 5 2 2 3" xfId="5239" xr:uid="{00000000-0005-0000-0000-0000691A0000}"/>
    <cellStyle name="Normal 5 3 5 2 2 3 2" xfId="13734" xr:uid="{3860B611-0395-4094-A15B-156B69E2D073}"/>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92" xr:uid="{CBFB0AF9-8A4C-4373-96B2-8C9EE65EF6EA}"/>
    <cellStyle name="Normal 5 3 5 2 3 2 3" xfId="12079" xr:uid="{62143B2E-5BC1-427B-B3FB-35B07DCA7C4A}"/>
    <cellStyle name="Normal 5 3 5 2 3 3" xfId="5652" xr:uid="{00000000-0005-0000-0000-00006D1A0000}"/>
    <cellStyle name="Normal 5 3 5 2 3 3 2" xfId="14147" xr:uid="{5BD721CF-E67B-47F7-89F7-026071AE4834}"/>
    <cellStyle name="Normal 5 3 5 2 3 4" xfId="9934" xr:uid="{EFC367E4-7AD0-431A-9741-F0CD6F7A31F7}"/>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705" xr:uid="{A0820961-3B78-45C5-9958-66AD1A9E610D}"/>
    <cellStyle name="Normal 5 3 5 2 4 2 3" xfId="12492" xr:uid="{616B3FD0-83C9-43B3-B362-265F0606FD95}"/>
    <cellStyle name="Normal 5 3 5 2 4 3" xfId="6065" xr:uid="{00000000-0005-0000-0000-0000711A0000}"/>
    <cellStyle name="Normal 5 3 5 2 4 3 2" xfId="14560" xr:uid="{1E543809-BBA8-4E7F-914C-77C44C53D58F}"/>
    <cellStyle name="Normal 5 3 5 2 4 4" xfId="10347" xr:uid="{AD1BD6A3-DAEA-44C0-82A1-31525E6C3F4F}"/>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118" xr:uid="{D00A1817-685C-42E3-BC63-7465C27FCEA0}"/>
    <cellStyle name="Normal 5 3 5 2 5 2 3" xfId="12905" xr:uid="{81837B02-B3A3-4A04-9F36-53A29A3A3535}"/>
    <cellStyle name="Normal 5 3 5 2 5 3" xfId="6478" xr:uid="{00000000-0005-0000-0000-0000751A0000}"/>
    <cellStyle name="Normal 5 3 5 2 5 3 2" xfId="14973" xr:uid="{D8C1FB09-E118-4023-B411-40C7F5C90C1D}"/>
    <cellStyle name="Normal 5 3 5 2 5 4" xfId="10760" xr:uid="{66307318-BB37-4B6B-A026-CC2AE2256DE9}"/>
    <cellStyle name="Normal 5 3 5 2 6" xfId="2608" xr:uid="{00000000-0005-0000-0000-0000761A0000}"/>
    <cellStyle name="Normal 5 3 5 2 6 2" xfId="6891" xr:uid="{00000000-0005-0000-0000-0000771A0000}"/>
    <cellStyle name="Normal 5 3 5 2 6 2 2" xfId="15386" xr:uid="{71E2E830-0A31-4E30-A4BE-72DD9FF9CC09}"/>
    <cellStyle name="Normal 5 3 5 2 6 3" xfId="11173" xr:uid="{A2E104C6-E320-4408-8913-398FEC86CF52}"/>
    <cellStyle name="Normal 5 3 5 2 7" xfId="4826" xr:uid="{00000000-0005-0000-0000-0000781A0000}"/>
    <cellStyle name="Normal 5 3 5 2 7 2" xfId="13321" xr:uid="{A3C5E85D-B983-46BC-938C-103C637DC45C}"/>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2 2 2" xfId="15878" xr:uid="{8F61D6D5-FD11-4646-ABB4-C9033AE0A02D}"/>
    <cellStyle name="Normal 5 3 5 3 2 3" xfId="11665" xr:uid="{9249D30D-69A9-4D6E-8009-8DC2F1F391F4}"/>
    <cellStyle name="Normal 5 3 5 3 3" xfId="5238" xr:uid="{00000000-0005-0000-0000-00007C1A0000}"/>
    <cellStyle name="Normal 5 3 5 3 3 2" xfId="13733" xr:uid="{FF257E3B-3F6D-4CAA-861C-D4F1F7897F15}"/>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2 2 2" xfId="16291" xr:uid="{9289C475-BFA3-4E81-AC1B-20A4C2D466E7}"/>
    <cellStyle name="Normal 5 3 5 4 2 3" xfId="12078" xr:uid="{8C9225CF-5393-42E8-80D4-93775201A040}"/>
    <cellStyle name="Normal 5 3 5 4 3" xfId="5651" xr:uid="{00000000-0005-0000-0000-0000801A0000}"/>
    <cellStyle name="Normal 5 3 5 4 3 2" xfId="14146" xr:uid="{E22D01B2-B4B8-46BD-B802-0EFE97E8E303}"/>
    <cellStyle name="Normal 5 3 5 4 4" xfId="9933" xr:uid="{010458C6-ED83-440B-AD67-AE3D5272F1FF}"/>
    <cellStyle name="Normal 5 3 5 5" xfId="1757" xr:uid="{00000000-0005-0000-0000-0000811A0000}"/>
    <cellStyle name="Normal 5 3 5 5 2" xfId="3987" xr:uid="{00000000-0005-0000-0000-0000821A0000}"/>
    <cellStyle name="Normal 5 3 5 5 2 2" xfId="8209" xr:uid="{00000000-0005-0000-0000-0000831A0000}"/>
    <cellStyle name="Normal 5 3 5 5 2 2 2" xfId="16704" xr:uid="{3293EF3D-9D98-4CF7-811D-D4B4C6EAD3F0}"/>
    <cellStyle name="Normal 5 3 5 5 2 3" xfId="12491" xr:uid="{45A511A4-7B3D-4B0B-B085-E20A35891A8D}"/>
    <cellStyle name="Normal 5 3 5 5 3" xfId="6064" xr:uid="{00000000-0005-0000-0000-0000841A0000}"/>
    <cellStyle name="Normal 5 3 5 5 3 2" xfId="14559" xr:uid="{EE061C40-81E9-4B6A-BBDE-913FF441FD33}"/>
    <cellStyle name="Normal 5 3 5 5 4" xfId="10346" xr:uid="{F3EF3066-0BBB-48FC-BCC0-25F46BB3505E}"/>
    <cellStyle name="Normal 5 3 5 6" xfId="2171" xr:uid="{00000000-0005-0000-0000-0000851A0000}"/>
    <cellStyle name="Normal 5 3 5 6 2" xfId="4400" xr:uid="{00000000-0005-0000-0000-0000861A0000}"/>
    <cellStyle name="Normal 5 3 5 6 2 2" xfId="8622" xr:uid="{00000000-0005-0000-0000-0000871A0000}"/>
    <cellStyle name="Normal 5 3 5 6 2 2 2" xfId="17117" xr:uid="{5A1A5C95-AB80-4AB1-A7F1-9A87A2F6C229}"/>
    <cellStyle name="Normal 5 3 5 6 2 3" xfId="12904" xr:uid="{F8769D65-74B9-47D6-A364-3E572EDD9A8C}"/>
    <cellStyle name="Normal 5 3 5 6 3" xfId="6477" xr:uid="{00000000-0005-0000-0000-0000881A0000}"/>
    <cellStyle name="Normal 5 3 5 6 3 2" xfId="14972" xr:uid="{D4E450D6-F846-498A-9A68-882B9A9973EB}"/>
    <cellStyle name="Normal 5 3 5 6 4" xfId="10759" xr:uid="{CB4DAF7B-6256-47F4-ACAB-895E916E851A}"/>
    <cellStyle name="Normal 5 3 5 7" xfId="2607" xr:uid="{00000000-0005-0000-0000-0000891A0000}"/>
    <cellStyle name="Normal 5 3 5 7 2" xfId="6890" xr:uid="{00000000-0005-0000-0000-00008A1A0000}"/>
    <cellStyle name="Normal 5 3 5 7 2 2" xfId="15385" xr:uid="{F8183C63-47FB-485F-9F30-EE97DC71E132}"/>
    <cellStyle name="Normal 5 3 5 7 3" xfId="11172" xr:uid="{8484E969-EF6F-4565-AA03-41F5AFCBE05C}"/>
    <cellStyle name="Normal 5 3 5 8" xfId="4825" xr:uid="{00000000-0005-0000-0000-00008B1A0000}"/>
    <cellStyle name="Normal 5 3 5 8 2" xfId="13320" xr:uid="{464512F0-BA4D-4EBE-80B5-AB8EE87D27F6}"/>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80" xr:uid="{259DEF06-B46F-4E87-9B0C-E7B4BA201FE4}"/>
    <cellStyle name="Normal 5 3 6 2 2 3" xfId="11667" xr:uid="{F6005544-57FE-47A4-8C6C-2CF042E406FC}"/>
    <cellStyle name="Normal 5 3 6 2 3" xfId="5240" xr:uid="{00000000-0005-0000-0000-0000901A0000}"/>
    <cellStyle name="Normal 5 3 6 2 3 2" xfId="13735" xr:uid="{C98D45A8-3336-4283-845B-F06F8955ADD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2 2 2" xfId="16293" xr:uid="{4E4F2A52-861E-4F54-B377-CCF17C19E883}"/>
    <cellStyle name="Normal 5 3 6 3 2 3" xfId="12080" xr:uid="{FF6C7A2C-0C90-490F-9333-B6ED8DBB50B7}"/>
    <cellStyle name="Normal 5 3 6 3 3" xfId="5653" xr:uid="{00000000-0005-0000-0000-0000941A0000}"/>
    <cellStyle name="Normal 5 3 6 3 3 2" xfId="14148" xr:uid="{CDE0CE08-3BF5-4992-B2BA-26CE268F6901}"/>
    <cellStyle name="Normal 5 3 6 3 4" xfId="9935" xr:uid="{22374BAC-DA0E-4230-9A79-B0FC766EC3C8}"/>
    <cellStyle name="Normal 5 3 6 4" xfId="1759" xr:uid="{00000000-0005-0000-0000-0000951A0000}"/>
    <cellStyle name="Normal 5 3 6 4 2" xfId="3989" xr:uid="{00000000-0005-0000-0000-0000961A0000}"/>
    <cellStyle name="Normal 5 3 6 4 2 2" xfId="8211" xr:uid="{00000000-0005-0000-0000-0000971A0000}"/>
    <cellStyle name="Normal 5 3 6 4 2 2 2" xfId="16706" xr:uid="{5B45011A-DD79-44D8-914D-06D2FD02D807}"/>
    <cellStyle name="Normal 5 3 6 4 2 3" xfId="12493" xr:uid="{175DAE47-873D-48A3-899A-62EDD9BA94FD}"/>
    <cellStyle name="Normal 5 3 6 4 3" xfId="6066" xr:uid="{00000000-0005-0000-0000-0000981A0000}"/>
    <cellStyle name="Normal 5 3 6 4 3 2" xfId="14561" xr:uid="{2AF75894-5E6C-43B8-99C7-32D14C987CFF}"/>
    <cellStyle name="Normal 5 3 6 4 4" xfId="10348" xr:uid="{C7B3E0E1-712C-4C7E-A8AB-D378F0D7FF71}"/>
    <cellStyle name="Normal 5 3 6 5" xfId="2173" xr:uid="{00000000-0005-0000-0000-0000991A0000}"/>
    <cellStyle name="Normal 5 3 6 5 2" xfId="4402" xr:uid="{00000000-0005-0000-0000-00009A1A0000}"/>
    <cellStyle name="Normal 5 3 6 5 2 2" xfId="8624" xr:uid="{00000000-0005-0000-0000-00009B1A0000}"/>
    <cellStyle name="Normal 5 3 6 5 2 2 2" xfId="17119" xr:uid="{23104C1C-CA13-497E-88A2-8B1C388D5F88}"/>
    <cellStyle name="Normal 5 3 6 5 2 3" xfId="12906" xr:uid="{5FDF9893-D72C-4DA4-B402-DC1F9CA2F200}"/>
    <cellStyle name="Normal 5 3 6 5 3" xfId="6479" xr:uid="{00000000-0005-0000-0000-00009C1A0000}"/>
    <cellStyle name="Normal 5 3 6 5 3 2" xfId="14974" xr:uid="{00BC1CCB-C70B-4035-BF70-CD72E1BCC5D6}"/>
    <cellStyle name="Normal 5 3 6 5 4" xfId="10761" xr:uid="{67BC50DB-CC66-41B0-9A41-B38C3C6331B3}"/>
    <cellStyle name="Normal 5 3 6 6" xfId="2609" xr:uid="{00000000-0005-0000-0000-00009D1A0000}"/>
    <cellStyle name="Normal 5 3 6 6 2" xfId="6892" xr:uid="{00000000-0005-0000-0000-00009E1A0000}"/>
    <cellStyle name="Normal 5 3 6 6 2 2" xfId="15387" xr:uid="{029F417D-D047-42F0-A2FB-884E2A5B7643}"/>
    <cellStyle name="Normal 5 3 6 6 3" xfId="11174" xr:uid="{BF090347-0ECD-4129-B843-97DC6AEF31A5}"/>
    <cellStyle name="Normal 5 3 6 7" xfId="4827" xr:uid="{00000000-0005-0000-0000-00009F1A0000}"/>
    <cellStyle name="Normal 5 3 6 7 2" xfId="13322" xr:uid="{36BF70DB-916C-4116-BDAB-0DCB0B4F027B}"/>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2 2 2" xfId="15865" xr:uid="{59C880A8-9E28-4A7C-A82D-0EC99C91DA8E}"/>
    <cellStyle name="Normal 5 3 7 2 3" xfId="11652" xr:uid="{9E3E7A93-4482-48B1-8274-3372DAE69D9C}"/>
    <cellStyle name="Normal 5 3 7 3" xfId="5225" xr:uid="{00000000-0005-0000-0000-0000A31A0000}"/>
    <cellStyle name="Normal 5 3 7 3 2" xfId="13720" xr:uid="{8420FA74-6BA8-4153-8F1B-47186B8E108C}"/>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2 2 2" xfId="16278" xr:uid="{CDD45DAD-3000-491E-9CCF-081E8F9D0F59}"/>
    <cellStyle name="Normal 5 3 8 2 3" xfId="12065" xr:uid="{136958E2-D0AB-4CA1-B405-83D20E01C5CD}"/>
    <cellStyle name="Normal 5 3 8 3" xfId="5638" xr:uid="{00000000-0005-0000-0000-0000A71A0000}"/>
    <cellStyle name="Normal 5 3 8 3 2" xfId="14133" xr:uid="{FD2C0555-AABC-4FA2-B33B-C6B2B5571845}"/>
    <cellStyle name="Normal 5 3 8 4" xfId="9920" xr:uid="{B1665A86-19AF-46D3-A9AE-3E7929D63300}"/>
    <cellStyle name="Normal 5 3 9" xfId="1744" xr:uid="{00000000-0005-0000-0000-0000A81A0000}"/>
    <cellStyle name="Normal 5 3 9 2" xfId="3974" xr:uid="{00000000-0005-0000-0000-0000A91A0000}"/>
    <cellStyle name="Normal 5 3 9 2 2" xfId="8196" xr:uid="{00000000-0005-0000-0000-0000AA1A0000}"/>
    <cellStyle name="Normal 5 3 9 2 2 2" xfId="16691" xr:uid="{9CA1C639-384E-4304-96AC-5B95C3EC172E}"/>
    <cellStyle name="Normal 5 3 9 2 3" xfId="12478" xr:uid="{0BDB34FD-E159-4FE6-AE2D-48F0FBAEB137}"/>
    <cellStyle name="Normal 5 3 9 3" xfId="6051" xr:uid="{00000000-0005-0000-0000-0000AB1A0000}"/>
    <cellStyle name="Normal 5 3 9 3 2" xfId="14546" xr:uid="{6B66416B-F911-4AB0-B110-E75442F282FF}"/>
    <cellStyle name="Normal 5 3 9 4" xfId="10333" xr:uid="{105D85F7-67B0-4272-994A-0C2033EBD816}"/>
    <cellStyle name="Normal 5 4" xfId="456" xr:uid="{00000000-0005-0000-0000-0000AC1A0000}"/>
    <cellStyle name="Normal 5 4 10" xfId="4828" xr:uid="{00000000-0005-0000-0000-0000AD1A0000}"/>
    <cellStyle name="Normal 5 4 10 2" xfId="13323" xr:uid="{9F5DF333-9CD8-4EE7-B628-157E3B2EA067}"/>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84" xr:uid="{9BD7FD23-9F8E-4F2C-BA2C-3665F52F4AB1}"/>
    <cellStyle name="Normal 5 4 2 2 2 2 2 3" xfId="11671" xr:uid="{33D02FBD-EAF7-41A4-B6F0-41CF1BB63BDD}"/>
    <cellStyle name="Normal 5 4 2 2 2 2 3" xfId="5244" xr:uid="{00000000-0005-0000-0000-0000B41A0000}"/>
    <cellStyle name="Normal 5 4 2 2 2 2 3 2" xfId="13739" xr:uid="{B99AB328-B281-4A4B-AA68-4B306C9B6283}"/>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97" xr:uid="{AC0FA303-DB33-44C3-853A-9C017C9FB412}"/>
    <cellStyle name="Normal 5 4 2 2 2 3 2 3" xfId="12084" xr:uid="{09F70B4E-3159-4609-8D7B-D68D0FB8582A}"/>
    <cellStyle name="Normal 5 4 2 2 2 3 3" xfId="5657" xr:uid="{00000000-0005-0000-0000-0000B81A0000}"/>
    <cellStyle name="Normal 5 4 2 2 2 3 3 2" xfId="14152" xr:uid="{96097A67-480B-45A7-B0F2-0FB371766529}"/>
    <cellStyle name="Normal 5 4 2 2 2 3 4" xfId="9939" xr:uid="{0B2B363A-C487-4A0B-950B-E76DE168232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710" xr:uid="{B8D11443-5A5D-40AD-A545-E1F4168430FA}"/>
    <cellStyle name="Normal 5 4 2 2 2 4 2 3" xfId="12497" xr:uid="{2C8B2ABD-8B2A-47E4-93C8-BE4AC12667C5}"/>
    <cellStyle name="Normal 5 4 2 2 2 4 3" xfId="6070" xr:uid="{00000000-0005-0000-0000-0000BC1A0000}"/>
    <cellStyle name="Normal 5 4 2 2 2 4 3 2" xfId="14565" xr:uid="{2FE3C4E7-CA32-4D65-8A88-8046EAB1FCAB}"/>
    <cellStyle name="Normal 5 4 2 2 2 4 4" xfId="10352" xr:uid="{C17D990B-8F3B-4BC5-85FE-12A428C9B22D}"/>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123" xr:uid="{787513B4-8CBB-4FFF-8F02-A61DB3BB822D}"/>
    <cellStyle name="Normal 5 4 2 2 2 5 2 3" xfId="12910" xr:uid="{0B5E7F56-FDF9-41C0-8EFA-63DE7BAFD8C2}"/>
    <cellStyle name="Normal 5 4 2 2 2 5 3" xfId="6483" xr:uid="{00000000-0005-0000-0000-0000C01A0000}"/>
    <cellStyle name="Normal 5 4 2 2 2 5 3 2" xfId="14978" xr:uid="{6CF65F75-EA98-4D9A-8ADB-9A74506ADBEB}"/>
    <cellStyle name="Normal 5 4 2 2 2 5 4" xfId="10765" xr:uid="{A5FA5F07-B3DB-4F08-BBE4-5830C4CB24B2}"/>
    <cellStyle name="Normal 5 4 2 2 2 6" xfId="2613" xr:uid="{00000000-0005-0000-0000-0000C11A0000}"/>
    <cellStyle name="Normal 5 4 2 2 2 6 2" xfId="6896" xr:uid="{00000000-0005-0000-0000-0000C21A0000}"/>
    <cellStyle name="Normal 5 4 2 2 2 6 2 2" xfId="15391" xr:uid="{C555F381-6443-4C33-968B-251155DC26C3}"/>
    <cellStyle name="Normal 5 4 2 2 2 6 3" xfId="11178" xr:uid="{7BF6ACB4-832B-492E-B155-4298A68BA892}"/>
    <cellStyle name="Normal 5 4 2 2 2 7" xfId="4831" xr:uid="{00000000-0005-0000-0000-0000C31A0000}"/>
    <cellStyle name="Normal 5 4 2 2 2 7 2" xfId="13326" xr:uid="{BCF0BBC1-E061-4503-B22D-7E3737996342}"/>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83" xr:uid="{45B1EF9D-B2DD-42B9-83E8-F4E87F3449E1}"/>
    <cellStyle name="Normal 5 4 2 2 3 2 3" xfId="11670" xr:uid="{3E4B7C5D-A8A5-4122-A9E9-C7DF86A1E906}"/>
    <cellStyle name="Normal 5 4 2 2 3 3" xfId="5243" xr:uid="{00000000-0005-0000-0000-0000C71A0000}"/>
    <cellStyle name="Normal 5 4 2 2 3 3 2" xfId="13738" xr:uid="{5451D1E9-BB54-4E0E-8667-E442CB0671A9}"/>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96" xr:uid="{1F9F5DCD-B961-435C-95A5-25FF9842B78D}"/>
    <cellStyle name="Normal 5 4 2 2 4 2 3" xfId="12083" xr:uid="{AE0BA7AD-5988-4E46-8AF6-7DB7EE89DC0D}"/>
    <cellStyle name="Normal 5 4 2 2 4 3" xfId="5656" xr:uid="{00000000-0005-0000-0000-0000CB1A0000}"/>
    <cellStyle name="Normal 5 4 2 2 4 3 2" xfId="14151" xr:uid="{8D669197-48ED-451C-8215-4A7DFD313FB1}"/>
    <cellStyle name="Normal 5 4 2 2 4 4" xfId="9938" xr:uid="{7729ED5C-E992-4D43-974F-1241FC1F8C1C}"/>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709" xr:uid="{849E59CB-2A77-4569-8AAD-E67A4E006884}"/>
    <cellStyle name="Normal 5 4 2 2 5 2 3" xfId="12496" xr:uid="{57B44B43-935F-4370-886E-D8A23C91F898}"/>
    <cellStyle name="Normal 5 4 2 2 5 3" xfId="6069" xr:uid="{00000000-0005-0000-0000-0000CF1A0000}"/>
    <cellStyle name="Normal 5 4 2 2 5 3 2" xfId="14564" xr:uid="{DBA93E56-5BBD-475B-B696-C4BBC113FE8B}"/>
    <cellStyle name="Normal 5 4 2 2 5 4" xfId="10351" xr:uid="{0DAEE70A-82A1-4F4B-80F2-2EDADE20AD5D}"/>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122" xr:uid="{C7E527E4-1047-4757-AA42-8D6EC60D70E4}"/>
    <cellStyle name="Normal 5 4 2 2 6 2 3" xfId="12909" xr:uid="{029A2DF6-FC1D-4ADF-BB71-08A56F791A36}"/>
    <cellStyle name="Normal 5 4 2 2 6 3" xfId="6482" xr:uid="{00000000-0005-0000-0000-0000D31A0000}"/>
    <cellStyle name="Normal 5 4 2 2 6 3 2" xfId="14977" xr:uid="{0ACB99F4-7A07-455E-B154-9FBBC7650A46}"/>
    <cellStyle name="Normal 5 4 2 2 6 4" xfId="10764" xr:uid="{95E8463E-C72C-41F5-9322-56AE4A757590}"/>
    <cellStyle name="Normal 5 4 2 2 7" xfId="2612" xr:uid="{00000000-0005-0000-0000-0000D41A0000}"/>
    <cellStyle name="Normal 5 4 2 2 7 2" xfId="6895" xr:uid="{00000000-0005-0000-0000-0000D51A0000}"/>
    <cellStyle name="Normal 5 4 2 2 7 2 2" xfId="15390" xr:uid="{7BEADD5A-BD39-451E-B95C-637066370FBC}"/>
    <cellStyle name="Normal 5 4 2 2 7 3" xfId="11177" xr:uid="{15FC48B4-187B-4AE2-B593-3BB83B4ABF3F}"/>
    <cellStyle name="Normal 5 4 2 2 8" xfId="4830" xr:uid="{00000000-0005-0000-0000-0000D61A0000}"/>
    <cellStyle name="Normal 5 4 2 2 8 2" xfId="13325" xr:uid="{4B213609-DC2F-4556-8ED5-A150FFE5A487}"/>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85" xr:uid="{9ED6DA29-3269-4232-9467-50F7C054A1E4}"/>
    <cellStyle name="Normal 5 4 2 3 2 2 3" xfId="11672" xr:uid="{AD53FB49-9DED-4DCE-8E97-2E5C3C91C0D2}"/>
    <cellStyle name="Normal 5 4 2 3 2 3" xfId="5245" xr:uid="{00000000-0005-0000-0000-0000DB1A0000}"/>
    <cellStyle name="Normal 5 4 2 3 2 3 2" xfId="13740" xr:uid="{532D5F1D-BAB6-460B-B74A-FFF22F76787E}"/>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98" xr:uid="{7C3B4F39-0821-4AFF-B8C8-C27734A821BA}"/>
    <cellStyle name="Normal 5 4 2 3 3 2 3" xfId="12085" xr:uid="{3A0C25AA-7E0F-4A85-8C06-E7F9FE2F3D07}"/>
    <cellStyle name="Normal 5 4 2 3 3 3" xfId="5658" xr:uid="{00000000-0005-0000-0000-0000DF1A0000}"/>
    <cellStyle name="Normal 5 4 2 3 3 3 2" xfId="14153" xr:uid="{E9B2A44A-F925-44CC-BC7A-DD462674DE11}"/>
    <cellStyle name="Normal 5 4 2 3 3 4" xfId="9940" xr:uid="{D717E9CA-4701-4755-94FA-E97634F6747D}"/>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711" xr:uid="{1E8BC41C-C564-4F38-BEDE-E920072FCD71}"/>
    <cellStyle name="Normal 5 4 2 3 4 2 3" xfId="12498" xr:uid="{43531C95-A2E6-4D0A-BC47-09D8B0B793AB}"/>
    <cellStyle name="Normal 5 4 2 3 4 3" xfId="6071" xr:uid="{00000000-0005-0000-0000-0000E31A0000}"/>
    <cellStyle name="Normal 5 4 2 3 4 3 2" xfId="14566" xr:uid="{7D17F242-2DD5-4896-AA3D-0A847C7CA97D}"/>
    <cellStyle name="Normal 5 4 2 3 4 4" xfId="10353" xr:uid="{CE1DC94B-53CE-4584-B0AF-02499E325664}"/>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124" xr:uid="{2D2A0C3F-C235-4362-8B41-86F4DDA10569}"/>
    <cellStyle name="Normal 5 4 2 3 5 2 3" xfId="12911" xr:uid="{27046EA3-571C-4214-B93F-08C0133C3C8B}"/>
    <cellStyle name="Normal 5 4 2 3 5 3" xfId="6484" xr:uid="{00000000-0005-0000-0000-0000E71A0000}"/>
    <cellStyle name="Normal 5 4 2 3 5 3 2" xfId="14979" xr:uid="{1B8B5BF0-3C21-48E8-8EA4-30B14EE8B54C}"/>
    <cellStyle name="Normal 5 4 2 3 5 4" xfId="10766" xr:uid="{0A4FF547-8260-4E48-B216-E4065A8AD0F0}"/>
    <cellStyle name="Normal 5 4 2 3 6" xfId="2614" xr:uid="{00000000-0005-0000-0000-0000E81A0000}"/>
    <cellStyle name="Normal 5 4 2 3 6 2" xfId="6897" xr:uid="{00000000-0005-0000-0000-0000E91A0000}"/>
    <cellStyle name="Normal 5 4 2 3 6 2 2" xfId="15392" xr:uid="{742ACA4A-CC22-4BAA-A51E-AB7F048B6293}"/>
    <cellStyle name="Normal 5 4 2 3 6 3" xfId="11179" xr:uid="{BF8893E6-3BAA-4645-BEA9-721767C183C8}"/>
    <cellStyle name="Normal 5 4 2 3 7" xfId="4832" xr:uid="{00000000-0005-0000-0000-0000EA1A0000}"/>
    <cellStyle name="Normal 5 4 2 3 7 2" xfId="13327" xr:uid="{93753D92-E8D0-4FA2-89C7-2A3103080A3F}"/>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2 2 2" xfId="15882" xr:uid="{D9541C5F-D314-4D2B-B16E-24AB7100D326}"/>
    <cellStyle name="Normal 5 4 2 4 2 3" xfId="11669" xr:uid="{69153773-0CF6-410E-BB6E-84A923AC4951}"/>
    <cellStyle name="Normal 5 4 2 4 3" xfId="5242" xr:uid="{00000000-0005-0000-0000-0000EE1A0000}"/>
    <cellStyle name="Normal 5 4 2 4 3 2" xfId="13737" xr:uid="{D49F6903-4B94-4D0E-9FF2-E14AFA3DB6E5}"/>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2 2 2" xfId="16295" xr:uid="{9A7460B9-D88C-4DA9-BF2D-9D71D3CA8B95}"/>
    <cellStyle name="Normal 5 4 2 5 2 3" xfId="12082" xr:uid="{F4CD81DE-102F-4644-916E-F04031E8F7CA}"/>
    <cellStyle name="Normal 5 4 2 5 3" xfId="5655" xr:uid="{00000000-0005-0000-0000-0000F21A0000}"/>
    <cellStyle name="Normal 5 4 2 5 3 2" xfId="14150" xr:uid="{A2E6B0E9-1CBD-48D7-B2C3-5915A5B7135F}"/>
    <cellStyle name="Normal 5 4 2 5 4" xfId="9937" xr:uid="{88B5A305-658E-47A7-82CC-0538DF57F1F5}"/>
    <cellStyle name="Normal 5 4 2 6" xfId="1761" xr:uid="{00000000-0005-0000-0000-0000F31A0000}"/>
    <cellStyle name="Normal 5 4 2 6 2" xfId="3991" xr:uid="{00000000-0005-0000-0000-0000F41A0000}"/>
    <cellStyle name="Normal 5 4 2 6 2 2" xfId="8213" xr:uid="{00000000-0005-0000-0000-0000F51A0000}"/>
    <cellStyle name="Normal 5 4 2 6 2 2 2" xfId="16708" xr:uid="{4B53FBCB-D394-4D4A-853A-59DC72D1678D}"/>
    <cellStyle name="Normal 5 4 2 6 2 3" xfId="12495" xr:uid="{3E2686DF-2CF7-42AF-8449-EDFB684E6A7A}"/>
    <cellStyle name="Normal 5 4 2 6 3" xfId="6068" xr:uid="{00000000-0005-0000-0000-0000F61A0000}"/>
    <cellStyle name="Normal 5 4 2 6 3 2" xfId="14563" xr:uid="{809DB7C9-692E-436C-B978-1BDB8E82AD98}"/>
    <cellStyle name="Normal 5 4 2 6 4" xfId="10350" xr:uid="{BF250727-5EE4-47B9-AD0B-AC5CD4FF6113}"/>
    <cellStyle name="Normal 5 4 2 7" xfId="2175" xr:uid="{00000000-0005-0000-0000-0000F71A0000}"/>
    <cellStyle name="Normal 5 4 2 7 2" xfId="4404" xr:uid="{00000000-0005-0000-0000-0000F81A0000}"/>
    <cellStyle name="Normal 5 4 2 7 2 2" xfId="8626" xr:uid="{00000000-0005-0000-0000-0000F91A0000}"/>
    <cellStyle name="Normal 5 4 2 7 2 2 2" xfId="17121" xr:uid="{4B1259C6-779B-4D2F-B04F-AA473E3A3CCD}"/>
    <cellStyle name="Normal 5 4 2 7 2 3" xfId="12908" xr:uid="{40B82AB7-C3C8-47EE-88D6-3515F6D2E492}"/>
    <cellStyle name="Normal 5 4 2 7 3" xfId="6481" xr:uid="{00000000-0005-0000-0000-0000FA1A0000}"/>
    <cellStyle name="Normal 5 4 2 7 3 2" xfId="14976" xr:uid="{F12FE5BD-52D2-4112-9E9D-C4B6A2E1D5FE}"/>
    <cellStyle name="Normal 5 4 2 7 4" xfId="10763" xr:uid="{3814CCC9-9A92-45D7-8A24-176A8C094A78}"/>
    <cellStyle name="Normal 5 4 2 8" xfId="2611" xr:uid="{00000000-0005-0000-0000-0000FB1A0000}"/>
    <cellStyle name="Normal 5 4 2 8 2" xfId="6894" xr:uid="{00000000-0005-0000-0000-0000FC1A0000}"/>
    <cellStyle name="Normal 5 4 2 8 2 2" xfId="15389" xr:uid="{80F136F7-FDA9-4EEA-868D-9D10D0DE1D43}"/>
    <cellStyle name="Normal 5 4 2 8 3" xfId="11176" xr:uid="{37FB5B75-874E-4E86-BE6E-B2F64AB677CE}"/>
    <cellStyle name="Normal 5 4 2 9" xfId="4829" xr:uid="{00000000-0005-0000-0000-0000FD1A0000}"/>
    <cellStyle name="Normal 5 4 2 9 2" xfId="13324" xr:uid="{E6D25B6D-D9FD-4382-ACCE-9DD9966EE3AA}"/>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87" xr:uid="{5B655059-3833-43E9-990E-E59A5BCBFBCA}"/>
    <cellStyle name="Normal 5 4 3 2 2 2 3" xfId="11674" xr:uid="{DCC61A96-CA2C-4CB0-997F-40302A5C5D28}"/>
    <cellStyle name="Normal 5 4 3 2 2 3" xfId="5247" xr:uid="{00000000-0005-0000-0000-0000031B0000}"/>
    <cellStyle name="Normal 5 4 3 2 2 3 2" xfId="13742" xr:uid="{0372B4A9-FECE-4630-AD5A-7AB77FFC5D05}"/>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300" xr:uid="{C3349202-5FC7-4F22-96C0-4EDD3B44F485}"/>
    <cellStyle name="Normal 5 4 3 2 3 2 3" xfId="12087" xr:uid="{E0BB2C12-7C26-497A-96C0-2221A8CBF970}"/>
    <cellStyle name="Normal 5 4 3 2 3 3" xfId="5660" xr:uid="{00000000-0005-0000-0000-0000071B0000}"/>
    <cellStyle name="Normal 5 4 3 2 3 3 2" xfId="14155" xr:uid="{A1A268B2-EC9B-45BA-89CC-8F0655F39968}"/>
    <cellStyle name="Normal 5 4 3 2 3 4" xfId="9942" xr:uid="{4B3390CD-4D12-4634-83EA-F522AA2F86D2}"/>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713" xr:uid="{E32F46CD-659C-4A3F-BC08-E9CBA4D02DC8}"/>
    <cellStyle name="Normal 5 4 3 2 4 2 3" xfId="12500" xr:uid="{23CE3CA7-8930-4B48-A202-64881A88AB10}"/>
    <cellStyle name="Normal 5 4 3 2 4 3" xfId="6073" xr:uid="{00000000-0005-0000-0000-00000B1B0000}"/>
    <cellStyle name="Normal 5 4 3 2 4 3 2" xfId="14568" xr:uid="{A29A4222-F0A2-44AF-BA6A-0142F6074C86}"/>
    <cellStyle name="Normal 5 4 3 2 4 4" xfId="10355" xr:uid="{2037AC5C-106F-4E7E-8008-A62E61D0900E}"/>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126" xr:uid="{A851C06E-F317-4FBF-ADF2-41862E41C2BB}"/>
    <cellStyle name="Normal 5 4 3 2 5 2 3" xfId="12913" xr:uid="{F1A2EA38-ECEB-4E96-83FD-63AD44C598BA}"/>
    <cellStyle name="Normal 5 4 3 2 5 3" xfId="6486" xr:uid="{00000000-0005-0000-0000-00000F1B0000}"/>
    <cellStyle name="Normal 5 4 3 2 5 3 2" xfId="14981" xr:uid="{CA7B13DD-29EB-403C-A249-F8D2AD3715F7}"/>
    <cellStyle name="Normal 5 4 3 2 5 4" xfId="10768" xr:uid="{8FF7E1CD-44A8-4D03-A6E9-BF35A830923D}"/>
    <cellStyle name="Normal 5 4 3 2 6" xfId="2616" xr:uid="{00000000-0005-0000-0000-0000101B0000}"/>
    <cellStyle name="Normal 5 4 3 2 6 2" xfId="6899" xr:uid="{00000000-0005-0000-0000-0000111B0000}"/>
    <cellStyle name="Normal 5 4 3 2 6 2 2" xfId="15394" xr:uid="{8F64A7EE-BE2F-4DC4-86A5-78F48D81720A}"/>
    <cellStyle name="Normal 5 4 3 2 6 3" xfId="11181" xr:uid="{E5A83FA7-2759-407C-92AC-9979AED821BB}"/>
    <cellStyle name="Normal 5 4 3 2 7" xfId="4834" xr:uid="{00000000-0005-0000-0000-0000121B0000}"/>
    <cellStyle name="Normal 5 4 3 2 7 2" xfId="13329" xr:uid="{BE318F19-AC92-42A0-ABEE-567BC757129E}"/>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2 2 2" xfId="15886" xr:uid="{9AEC7915-B34A-41B8-81D2-E93C3FC8B5CC}"/>
    <cellStyle name="Normal 5 4 3 3 2 3" xfId="11673" xr:uid="{CA564C2F-03B4-4458-9CC5-70D3681DBF20}"/>
    <cellStyle name="Normal 5 4 3 3 3" xfId="5246" xr:uid="{00000000-0005-0000-0000-0000161B0000}"/>
    <cellStyle name="Normal 5 4 3 3 3 2" xfId="13741" xr:uid="{CE46E85E-5F79-4506-9B4B-0F9F3E854603}"/>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2 2 2" xfId="16299" xr:uid="{00E078C8-3DDB-44F2-A7EE-21D19ECDCC6F}"/>
    <cellStyle name="Normal 5 4 3 4 2 3" xfId="12086" xr:uid="{100CCF13-9213-40E2-B335-E5EFEC4F3EBD}"/>
    <cellStyle name="Normal 5 4 3 4 3" xfId="5659" xr:uid="{00000000-0005-0000-0000-00001A1B0000}"/>
    <cellStyle name="Normal 5 4 3 4 3 2" xfId="14154" xr:uid="{CC8879B5-1426-4F2A-A2DD-F53BF8D870D3}"/>
    <cellStyle name="Normal 5 4 3 4 4" xfId="9941" xr:uid="{FBC02DD1-E24C-44C5-B303-825843A45FD0}"/>
    <cellStyle name="Normal 5 4 3 5" xfId="1765" xr:uid="{00000000-0005-0000-0000-00001B1B0000}"/>
    <cellStyle name="Normal 5 4 3 5 2" xfId="3995" xr:uid="{00000000-0005-0000-0000-00001C1B0000}"/>
    <cellStyle name="Normal 5 4 3 5 2 2" xfId="8217" xr:uid="{00000000-0005-0000-0000-00001D1B0000}"/>
    <cellStyle name="Normal 5 4 3 5 2 2 2" xfId="16712" xr:uid="{4C010053-2EE3-4674-ACAD-F566EBD0CB8E}"/>
    <cellStyle name="Normal 5 4 3 5 2 3" xfId="12499" xr:uid="{BB8F84D2-3929-4118-A03B-06AF7F7F4A71}"/>
    <cellStyle name="Normal 5 4 3 5 3" xfId="6072" xr:uid="{00000000-0005-0000-0000-00001E1B0000}"/>
    <cellStyle name="Normal 5 4 3 5 3 2" xfId="14567" xr:uid="{97FC215A-12EF-4FC9-887A-76B7A31E1B62}"/>
    <cellStyle name="Normal 5 4 3 5 4" xfId="10354" xr:uid="{201CB7E6-34CA-4D46-813C-B4E1ECD4E30F}"/>
    <cellStyle name="Normal 5 4 3 6" xfId="2179" xr:uid="{00000000-0005-0000-0000-00001F1B0000}"/>
    <cellStyle name="Normal 5 4 3 6 2" xfId="4408" xr:uid="{00000000-0005-0000-0000-0000201B0000}"/>
    <cellStyle name="Normal 5 4 3 6 2 2" xfId="8630" xr:uid="{00000000-0005-0000-0000-0000211B0000}"/>
    <cellStyle name="Normal 5 4 3 6 2 2 2" xfId="17125" xr:uid="{2DC2DD6A-36F9-42D9-993D-8A5AB369B8F2}"/>
    <cellStyle name="Normal 5 4 3 6 2 3" xfId="12912" xr:uid="{8B86BA40-38BB-424F-A447-32214AAC73DC}"/>
    <cellStyle name="Normal 5 4 3 6 3" xfId="6485" xr:uid="{00000000-0005-0000-0000-0000221B0000}"/>
    <cellStyle name="Normal 5 4 3 6 3 2" xfId="14980" xr:uid="{33DB5C0F-51D6-4BF1-9372-42FEF5FBF312}"/>
    <cellStyle name="Normal 5 4 3 6 4" xfId="10767" xr:uid="{E6C24CF9-D46A-4B6B-B785-9211BBEEAF37}"/>
    <cellStyle name="Normal 5 4 3 7" xfId="2615" xr:uid="{00000000-0005-0000-0000-0000231B0000}"/>
    <cellStyle name="Normal 5 4 3 7 2" xfId="6898" xr:uid="{00000000-0005-0000-0000-0000241B0000}"/>
    <cellStyle name="Normal 5 4 3 7 2 2" xfId="15393" xr:uid="{719870DE-5311-4D1B-8763-D28C0BEA9FAF}"/>
    <cellStyle name="Normal 5 4 3 7 3" xfId="11180" xr:uid="{BDEAE17E-2B5A-463C-B9DA-CCA66A074F52}"/>
    <cellStyle name="Normal 5 4 3 8" xfId="4833" xr:uid="{00000000-0005-0000-0000-0000251B0000}"/>
    <cellStyle name="Normal 5 4 3 8 2" xfId="13328" xr:uid="{E7ACFA41-6509-40D0-A3A7-EF395C1C342C}"/>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88" xr:uid="{0B7D118B-FF19-40C9-8226-C7EC66CBD090}"/>
    <cellStyle name="Normal 5 4 4 2 2 3" xfId="11675" xr:uid="{307FFEDB-B7BD-4E59-B735-6C72B761D728}"/>
    <cellStyle name="Normal 5 4 4 2 3" xfId="5248" xr:uid="{00000000-0005-0000-0000-00002A1B0000}"/>
    <cellStyle name="Normal 5 4 4 2 3 2" xfId="13743" xr:uid="{91C0F6D6-C60A-478D-8ABD-A632B39F6EE6}"/>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2 2 2" xfId="16301" xr:uid="{B9E603CF-32D4-4B9B-976E-3B95D0896F30}"/>
    <cellStyle name="Normal 5 4 4 3 2 3" xfId="12088" xr:uid="{95F56CE8-6E62-4BD9-A737-C0A66CF69735}"/>
    <cellStyle name="Normal 5 4 4 3 3" xfId="5661" xr:uid="{00000000-0005-0000-0000-00002E1B0000}"/>
    <cellStyle name="Normal 5 4 4 3 3 2" xfId="14156" xr:uid="{0FF556EF-7FD4-467A-AFEE-E2D57F041AA1}"/>
    <cellStyle name="Normal 5 4 4 3 4" xfId="9943" xr:uid="{963C9A19-4F56-4E67-AD61-619840C08212}"/>
    <cellStyle name="Normal 5 4 4 4" xfId="1767" xr:uid="{00000000-0005-0000-0000-00002F1B0000}"/>
    <cellStyle name="Normal 5 4 4 4 2" xfId="3997" xr:uid="{00000000-0005-0000-0000-0000301B0000}"/>
    <cellStyle name="Normal 5 4 4 4 2 2" xfId="8219" xr:uid="{00000000-0005-0000-0000-0000311B0000}"/>
    <cellStyle name="Normal 5 4 4 4 2 2 2" xfId="16714" xr:uid="{9213E0D5-A8ED-40E1-BF39-FD029C5DB118}"/>
    <cellStyle name="Normal 5 4 4 4 2 3" xfId="12501" xr:uid="{3CB5A6E3-BC9D-41EC-9F91-52637C6E1411}"/>
    <cellStyle name="Normal 5 4 4 4 3" xfId="6074" xr:uid="{00000000-0005-0000-0000-0000321B0000}"/>
    <cellStyle name="Normal 5 4 4 4 3 2" xfId="14569" xr:uid="{B7114652-63FC-4069-87F4-533F4D3CD673}"/>
    <cellStyle name="Normal 5 4 4 4 4" xfId="10356" xr:uid="{8C1C89C4-0DFE-4D10-A72A-41501A9C6F01}"/>
    <cellStyle name="Normal 5 4 4 5" xfId="2181" xr:uid="{00000000-0005-0000-0000-0000331B0000}"/>
    <cellStyle name="Normal 5 4 4 5 2" xfId="4410" xr:uid="{00000000-0005-0000-0000-0000341B0000}"/>
    <cellStyle name="Normal 5 4 4 5 2 2" xfId="8632" xr:uid="{00000000-0005-0000-0000-0000351B0000}"/>
    <cellStyle name="Normal 5 4 4 5 2 2 2" xfId="17127" xr:uid="{9635755B-6CDF-451C-9145-3791D8213E1D}"/>
    <cellStyle name="Normal 5 4 4 5 2 3" xfId="12914" xr:uid="{2551F6CD-24EA-45F6-B863-2C8A38FF4FAA}"/>
    <cellStyle name="Normal 5 4 4 5 3" xfId="6487" xr:uid="{00000000-0005-0000-0000-0000361B0000}"/>
    <cellStyle name="Normal 5 4 4 5 3 2" xfId="14982" xr:uid="{F8007CF3-1C09-423E-AF1E-DBC05E92FAD5}"/>
    <cellStyle name="Normal 5 4 4 5 4" xfId="10769" xr:uid="{315633DF-BF69-45F5-BF47-A2C50F23C5D4}"/>
    <cellStyle name="Normal 5 4 4 6" xfId="2617" xr:uid="{00000000-0005-0000-0000-0000371B0000}"/>
    <cellStyle name="Normal 5 4 4 6 2" xfId="6900" xr:uid="{00000000-0005-0000-0000-0000381B0000}"/>
    <cellStyle name="Normal 5 4 4 6 2 2" xfId="15395" xr:uid="{9140F7E5-E12F-4608-ADD9-B690E2EFD61B}"/>
    <cellStyle name="Normal 5 4 4 6 3" xfId="11182" xr:uid="{AD577CDB-3B2F-4F65-8BA2-93DAACE10A53}"/>
    <cellStyle name="Normal 5 4 4 7" xfId="4835" xr:uid="{00000000-0005-0000-0000-0000391B0000}"/>
    <cellStyle name="Normal 5 4 4 7 2" xfId="13330" xr:uid="{88924BE1-7EDF-42A9-97C7-AC236D08D891}"/>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2 2 2" xfId="15881" xr:uid="{FB1C0D0F-6CF7-42F4-8346-B89E4CE33911}"/>
    <cellStyle name="Normal 5 4 5 2 3" xfId="11668" xr:uid="{005F3CB5-67E2-4F43-A1A1-D685B48F4689}"/>
    <cellStyle name="Normal 5 4 5 3" xfId="5241" xr:uid="{00000000-0005-0000-0000-00003D1B0000}"/>
    <cellStyle name="Normal 5 4 5 3 2" xfId="13736" xr:uid="{CBD01E32-98FB-4C17-AFD3-C39D1509AC38}"/>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2 2 2" xfId="16294" xr:uid="{69DAF34A-C55B-480C-BA22-F2FECF34CF13}"/>
    <cellStyle name="Normal 5 4 6 2 3" xfId="12081" xr:uid="{8EA65618-8E5E-4203-AB80-50F073F276E5}"/>
    <cellStyle name="Normal 5 4 6 3" xfId="5654" xr:uid="{00000000-0005-0000-0000-0000411B0000}"/>
    <cellStyle name="Normal 5 4 6 3 2" xfId="14149" xr:uid="{558C1E51-FC79-4BAA-BE3A-E10780843A6B}"/>
    <cellStyle name="Normal 5 4 6 4" xfId="9936" xr:uid="{C8E4C0C4-5626-49D0-903F-98CCD12FAB2A}"/>
    <cellStyle name="Normal 5 4 7" xfId="1760" xr:uid="{00000000-0005-0000-0000-0000421B0000}"/>
    <cellStyle name="Normal 5 4 7 2" xfId="3990" xr:uid="{00000000-0005-0000-0000-0000431B0000}"/>
    <cellStyle name="Normal 5 4 7 2 2" xfId="8212" xr:uid="{00000000-0005-0000-0000-0000441B0000}"/>
    <cellStyle name="Normal 5 4 7 2 2 2" xfId="16707" xr:uid="{DB82D473-BC2B-4845-AA82-C9E8AF06F8BC}"/>
    <cellStyle name="Normal 5 4 7 2 3" xfId="12494" xr:uid="{5E5369DD-7486-4944-877C-5C40091537FA}"/>
    <cellStyle name="Normal 5 4 7 3" xfId="6067" xr:uid="{00000000-0005-0000-0000-0000451B0000}"/>
    <cellStyle name="Normal 5 4 7 3 2" xfId="14562" xr:uid="{5724ECC2-4E8C-445C-898E-7782BBBAB582}"/>
    <cellStyle name="Normal 5 4 7 4" xfId="10349" xr:uid="{955FDC0D-3D10-4685-AF5D-642DC67F619C}"/>
    <cellStyle name="Normal 5 4 8" xfId="2174" xr:uid="{00000000-0005-0000-0000-0000461B0000}"/>
    <cellStyle name="Normal 5 4 8 2" xfId="4403" xr:uid="{00000000-0005-0000-0000-0000471B0000}"/>
    <cellStyle name="Normal 5 4 8 2 2" xfId="8625" xr:uid="{00000000-0005-0000-0000-0000481B0000}"/>
    <cellStyle name="Normal 5 4 8 2 2 2" xfId="17120" xr:uid="{A9B2A873-6557-4328-B539-D94E5C09A095}"/>
    <cellStyle name="Normal 5 4 8 2 3" xfId="12907" xr:uid="{D4F8C833-80B7-47E6-A3F3-D7EEFC92C77E}"/>
    <cellStyle name="Normal 5 4 8 3" xfId="6480" xr:uid="{00000000-0005-0000-0000-0000491B0000}"/>
    <cellStyle name="Normal 5 4 8 3 2" xfId="14975" xr:uid="{A7F35397-F23F-49C9-965C-AD492387C65E}"/>
    <cellStyle name="Normal 5 4 8 4" xfId="10762" xr:uid="{7611F2C7-BD13-4D17-A00C-98E5A82F326E}"/>
    <cellStyle name="Normal 5 4 9" xfId="2610" xr:uid="{00000000-0005-0000-0000-00004A1B0000}"/>
    <cellStyle name="Normal 5 4 9 2" xfId="6893" xr:uid="{00000000-0005-0000-0000-00004B1B0000}"/>
    <cellStyle name="Normal 5 4 9 2 2" xfId="15388" xr:uid="{ED377379-7B0B-4153-93CB-3E27986E2FF2}"/>
    <cellStyle name="Normal 5 4 9 3" xfId="11175" xr:uid="{045EBA3A-B1D5-4BF7-BFA4-644399971A41}"/>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91" xr:uid="{82CAFFE9-0E92-47A1-9954-6004FB98F85B}"/>
    <cellStyle name="Normal 5 5 2 2 2 2 3" xfId="11678" xr:uid="{C7D0C964-6D30-4DF7-80ED-A2E3B97587FB}"/>
    <cellStyle name="Normal 5 5 2 2 2 3" xfId="5251" xr:uid="{00000000-0005-0000-0000-0000521B0000}"/>
    <cellStyle name="Normal 5 5 2 2 2 3 2" xfId="13746" xr:uid="{B68F519B-FFCD-4893-AEAC-C78BFD42DFF9}"/>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304" xr:uid="{8D9DD76B-8B87-4225-8BDD-C19AB37B7F00}"/>
    <cellStyle name="Normal 5 5 2 2 3 2 3" xfId="12091" xr:uid="{3F8DAB9B-FCFC-4ED8-8C36-4D0E0B7A4300}"/>
    <cellStyle name="Normal 5 5 2 2 3 3" xfId="5664" xr:uid="{00000000-0005-0000-0000-0000561B0000}"/>
    <cellStyle name="Normal 5 5 2 2 3 3 2" xfId="14159" xr:uid="{3C4B0A0D-5276-40DA-8B2B-CFA86687CF70}"/>
    <cellStyle name="Normal 5 5 2 2 3 4" xfId="9946" xr:uid="{68A547BD-5862-481E-BF96-9A3CFA25DEC1}"/>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717" xr:uid="{3C8E5B1F-7FA3-48EE-9449-597D6402A93A}"/>
    <cellStyle name="Normal 5 5 2 2 4 2 3" xfId="12504" xr:uid="{3EFF7C6E-AFD4-4C02-89A1-DDA958B7EC07}"/>
    <cellStyle name="Normal 5 5 2 2 4 3" xfId="6077" xr:uid="{00000000-0005-0000-0000-00005A1B0000}"/>
    <cellStyle name="Normal 5 5 2 2 4 3 2" xfId="14572" xr:uid="{34392621-D424-41D2-8E66-2049B088AC6A}"/>
    <cellStyle name="Normal 5 5 2 2 4 4" xfId="10359" xr:uid="{1D619B3A-31D1-4380-A746-70DA83F9CFFE}"/>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130" xr:uid="{9F436ED7-4087-484C-92FF-771A7AB9AF8A}"/>
    <cellStyle name="Normal 5 5 2 2 5 2 3" xfId="12917" xr:uid="{9C47BD5C-D3BF-4BE0-A7A5-1C7143C371CA}"/>
    <cellStyle name="Normal 5 5 2 2 5 3" xfId="6490" xr:uid="{00000000-0005-0000-0000-00005E1B0000}"/>
    <cellStyle name="Normal 5 5 2 2 5 3 2" xfId="14985" xr:uid="{D4EF98ED-A436-4FEF-8E57-B8B212A0DC6E}"/>
    <cellStyle name="Normal 5 5 2 2 5 4" xfId="10772" xr:uid="{74151ABF-1691-45AE-9102-3F44C62BF593}"/>
    <cellStyle name="Normal 5 5 2 2 6" xfId="2620" xr:uid="{00000000-0005-0000-0000-00005F1B0000}"/>
    <cellStyle name="Normal 5 5 2 2 6 2" xfId="6903" xr:uid="{00000000-0005-0000-0000-0000601B0000}"/>
    <cellStyle name="Normal 5 5 2 2 6 2 2" xfId="15398" xr:uid="{4465D411-6865-4E6C-8CE4-077A0613B17E}"/>
    <cellStyle name="Normal 5 5 2 2 6 3" xfId="11185" xr:uid="{644553DE-52F5-467A-A729-0346971DD6BB}"/>
    <cellStyle name="Normal 5 5 2 2 7" xfId="4838" xr:uid="{00000000-0005-0000-0000-0000611B0000}"/>
    <cellStyle name="Normal 5 5 2 2 7 2" xfId="13333" xr:uid="{4AFC7DFD-320D-49AC-A48E-A36FC2B8F24F}"/>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2 2 2" xfId="15890" xr:uid="{E5770712-D738-4504-86B1-3EA7E95B3A8F}"/>
    <cellStyle name="Normal 5 5 2 3 2 3" xfId="11677" xr:uid="{D14BB4EA-4DCB-4A04-81EB-8B672DB08DC8}"/>
    <cellStyle name="Normal 5 5 2 3 3" xfId="5250" xr:uid="{00000000-0005-0000-0000-0000651B0000}"/>
    <cellStyle name="Normal 5 5 2 3 3 2" xfId="13745" xr:uid="{C6904D83-F53F-4511-9FBD-70033ABAA0CB}"/>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2 2 2" xfId="16303" xr:uid="{2A1F02F5-1F35-42BB-ACD6-60BCBB52BD6F}"/>
    <cellStyle name="Normal 5 5 2 4 2 3" xfId="12090" xr:uid="{730CE0AD-221D-4101-9D6A-007B6DE3FD28}"/>
    <cellStyle name="Normal 5 5 2 4 3" xfId="5663" xr:uid="{00000000-0005-0000-0000-0000691B0000}"/>
    <cellStyle name="Normal 5 5 2 4 3 2" xfId="14158" xr:uid="{6FB63B27-A717-417A-ADE2-B9E317FD09E4}"/>
    <cellStyle name="Normal 5 5 2 4 4" xfId="9945" xr:uid="{40DBFB1F-69A2-4BB2-8F13-4DA0026FC4C4}"/>
    <cellStyle name="Normal 5 5 2 5" xfId="1769" xr:uid="{00000000-0005-0000-0000-00006A1B0000}"/>
    <cellStyle name="Normal 5 5 2 5 2" xfId="3999" xr:uid="{00000000-0005-0000-0000-00006B1B0000}"/>
    <cellStyle name="Normal 5 5 2 5 2 2" xfId="8221" xr:uid="{00000000-0005-0000-0000-00006C1B0000}"/>
    <cellStyle name="Normal 5 5 2 5 2 2 2" xfId="16716" xr:uid="{45D7604C-0E84-47B0-A6D3-AE873B6DEB03}"/>
    <cellStyle name="Normal 5 5 2 5 2 3" xfId="12503" xr:uid="{358CA1F0-B409-4DFF-BC73-AA2C57C458A8}"/>
    <cellStyle name="Normal 5 5 2 5 3" xfId="6076" xr:uid="{00000000-0005-0000-0000-00006D1B0000}"/>
    <cellStyle name="Normal 5 5 2 5 3 2" xfId="14571" xr:uid="{F26875C7-7593-4BB0-A0F6-1109DC2FFD61}"/>
    <cellStyle name="Normal 5 5 2 5 4" xfId="10358" xr:uid="{4D0CE375-1BF4-46DA-B57A-5C0B70172487}"/>
    <cellStyle name="Normal 5 5 2 6" xfId="2183" xr:uid="{00000000-0005-0000-0000-00006E1B0000}"/>
    <cellStyle name="Normal 5 5 2 6 2" xfId="4412" xr:uid="{00000000-0005-0000-0000-00006F1B0000}"/>
    <cellStyle name="Normal 5 5 2 6 2 2" xfId="8634" xr:uid="{00000000-0005-0000-0000-0000701B0000}"/>
    <cellStyle name="Normal 5 5 2 6 2 2 2" xfId="17129" xr:uid="{7BC4FB83-2C26-456C-8072-351ED72B1AAB}"/>
    <cellStyle name="Normal 5 5 2 6 2 3" xfId="12916" xr:uid="{C2A8DF76-7859-4E93-A04E-70A2EDEF2116}"/>
    <cellStyle name="Normal 5 5 2 6 3" xfId="6489" xr:uid="{00000000-0005-0000-0000-0000711B0000}"/>
    <cellStyle name="Normal 5 5 2 6 3 2" xfId="14984" xr:uid="{213988E3-E948-4897-A3AA-7CF78BE703E1}"/>
    <cellStyle name="Normal 5 5 2 6 4" xfId="10771" xr:uid="{8C9F0A3A-B2EE-48DE-82B3-A91F76119828}"/>
    <cellStyle name="Normal 5 5 2 7" xfId="2619" xr:uid="{00000000-0005-0000-0000-0000721B0000}"/>
    <cellStyle name="Normal 5 5 2 7 2" xfId="6902" xr:uid="{00000000-0005-0000-0000-0000731B0000}"/>
    <cellStyle name="Normal 5 5 2 7 2 2" xfId="15397" xr:uid="{10ED9653-0AE2-42D1-A530-9F8DBB701AC1}"/>
    <cellStyle name="Normal 5 5 2 7 3" xfId="11184" xr:uid="{5A4DC36F-10B3-48B1-B3F6-8FCF8A883A01}"/>
    <cellStyle name="Normal 5 5 2 8" xfId="4837" xr:uid="{00000000-0005-0000-0000-0000741B0000}"/>
    <cellStyle name="Normal 5 5 2 8 2" xfId="13332" xr:uid="{6CB344D8-5D1F-4774-8DEE-E9C7D2AADAE9}"/>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92" xr:uid="{EA6A9A3B-BBF7-4C26-82AE-716CA68E9E29}"/>
    <cellStyle name="Normal 5 5 3 2 2 3" xfId="11679" xr:uid="{CACD00B0-129C-4E03-A31E-57479305A91A}"/>
    <cellStyle name="Normal 5 5 3 2 3" xfId="5252" xr:uid="{00000000-0005-0000-0000-0000791B0000}"/>
    <cellStyle name="Normal 5 5 3 2 3 2" xfId="13747" xr:uid="{500E1A5C-6BA1-4517-BA5E-58D3E694B2DA}"/>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2 2 2" xfId="16305" xr:uid="{2A47548D-E89E-4808-831C-1582C7F3EBAC}"/>
    <cellStyle name="Normal 5 5 3 3 2 3" xfId="12092" xr:uid="{280A1F64-8125-4653-BA24-55A053C11D25}"/>
    <cellStyle name="Normal 5 5 3 3 3" xfId="5665" xr:uid="{00000000-0005-0000-0000-00007D1B0000}"/>
    <cellStyle name="Normal 5 5 3 3 3 2" xfId="14160" xr:uid="{5D032171-6600-4877-9BEA-C4C76872A86E}"/>
    <cellStyle name="Normal 5 5 3 3 4" xfId="9947" xr:uid="{B961C72A-DB43-4A61-BE6C-27FABC916D3C}"/>
    <cellStyle name="Normal 5 5 3 4" xfId="1771" xr:uid="{00000000-0005-0000-0000-00007E1B0000}"/>
    <cellStyle name="Normal 5 5 3 4 2" xfId="4001" xr:uid="{00000000-0005-0000-0000-00007F1B0000}"/>
    <cellStyle name="Normal 5 5 3 4 2 2" xfId="8223" xr:uid="{00000000-0005-0000-0000-0000801B0000}"/>
    <cellStyle name="Normal 5 5 3 4 2 2 2" xfId="16718" xr:uid="{A5C10FB8-4D54-4987-A1A9-69625F03C248}"/>
    <cellStyle name="Normal 5 5 3 4 2 3" xfId="12505" xr:uid="{B32890D5-5855-44CB-A185-A5A7CEA77F20}"/>
    <cellStyle name="Normal 5 5 3 4 3" xfId="6078" xr:uid="{00000000-0005-0000-0000-0000811B0000}"/>
    <cellStyle name="Normal 5 5 3 4 3 2" xfId="14573" xr:uid="{99AEAA44-6A91-43B5-A572-B95F037704BC}"/>
    <cellStyle name="Normal 5 5 3 4 4" xfId="10360" xr:uid="{C4DACE04-4121-44AC-A7A2-50682CA7BA80}"/>
    <cellStyle name="Normal 5 5 3 5" xfId="2185" xr:uid="{00000000-0005-0000-0000-0000821B0000}"/>
    <cellStyle name="Normal 5 5 3 5 2" xfId="4414" xr:uid="{00000000-0005-0000-0000-0000831B0000}"/>
    <cellStyle name="Normal 5 5 3 5 2 2" xfId="8636" xr:uid="{00000000-0005-0000-0000-0000841B0000}"/>
    <cellStyle name="Normal 5 5 3 5 2 2 2" xfId="17131" xr:uid="{FB1475D0-F621-4E4F-B29B-0211A13B9EAA}"/>
    <cellStyle name="Normal 5 5 3 5 2 3" xfId="12918" xr:uid="{68BDFCAE-EFA0-4AA0-B598-22A66846A106}"/>
    <cellStyle name="Normal 5 5 3 5 3" xfId="6491" xr:uid="{00000000-0005-0000-0000-0000851B0000}"/>
    <cellStyle name="Normal 5 5 3 5 3 2" xfId="14986" xr:uid="{E5536472-2C5A-4AFD-A56F-3A30BAB8A10F}"/>
    <cellStyle name="Normal 5 5 3 5 4" xfId="10773" xr:uid="{753140CA-4676-4977-92E4-79A44248683A}"/>
    <cellStyle name="Normal 5 5 3 6" xfId="2621" xr:uid="{00000000-0005-0000-0000-0000861B0000}"/>
    <cellStyle name="Normal 5 5 3 6 2" xfId="6904" xr:uid="{00000000-0005-0000-0000-0000871B0000}"/>
    <cellStyle name="Normal 5 5 3 6 2 2" xfId="15399" xr:uid="{63C97EBD-11B4-42D7-98D4-34009B865000}"/>
    <cellStyle name="Normal 5 5 3 6 3" xfId="11186" xr:uid="{E3E87D55-5B89-47BE-A05E-72BC2B042188}"/>
    <cellStyle name="Normal 5 5 3 7" xfId="4839" xr:uid="{00000000-0005-0000-0000-0000881B0000}"/>
    <cellStyle name="Normal 5 5 3 7 2" xfId="13334" xr:uid="{A9CB7EE2-47B2-43E9-8C93-50989E0E9855}"/>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2 2 2" xfId="15889" xr:uid="{74C738E7-7FB0-44B0-AC02-D7CF5A03275C}"/>
    <cellStyle name="Normal 5 5 4 2 3" xfId="11676" xr:uid="{4B6C0CAE-25FB-4B92-B15C-FF6071419D6E}"/>
    <cellStyle name="Normal 5 5 4 3" xfId="5249" xr:uid="{00000000-0005-0000-0000-00008C1B0000}"/>
    <cellStyle name="Normal 5 5 4 3 2" xfId="13744" xr:uid="{B53C2FA3-1494-442C-8FAF-BFA8FEDA0C5D}"/>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2 2 2" xfId="16302" xr:uid="{07A564CA-C7AC-43EA-BF0F-A3F88E900F49}"/>
    <cellStyle name="Normal 5 5 5 2 3" xfId="12089" xr:uid="{31CD2F86-BE33-46AC-B1E8-4CB42144CEE6}"/>
    <cellStyle name="Normal 5 5 5 3" xfId="5662" xr:uid="{00000000-0005-0000-0000-0000901B0000}"/>
    <cellStyle name="Normal 5 5 5 3 2" xfId="14157" xr:uid="{0CAF633D-7E64-4762-90CF-AA68D3A9EB10}"/>
    <cellStyle name="Normal 5 5 5 4" xfId="9944" xr:uid="{4C0EABC4-128E-464D-8931-8F8906CA1FCB}"/>
    <cellStyle name="Normal 5 5 6" xfId="1768" xr:uid="{00000000-0005-0000-0000-0000911B0000}"/>
    <cellStyle name="Normal 5 5 6 2" xfId="3998" xr:uid="{00000000-0005-0000-0000-0000921B0000}"/>
    <cellStyle name="Normal 5 5 6 2 2" xfId="8220" xr:uid="{00000000-0005-0000-0000-0000931B0000}"/>
    <cellStyle name="Normal 5 5 6 2 2 2" xfId="16715" xr:uid="{4A3A11AB-69D3-48D3-B9BA-C8C9CE0BEFCD}"/>
    <cellStyle name="Normal 5 5 6 2 3" xfId="12502" xr:uid="{91F8AE6B-A396-495B-A5E1-77CB1ED61B3A}"/>
    <cellStyle name="Normal 5 5 6 3" xfId="6075" xr:uid="{00000000-0005-0000-0000-0000941B0000}"/>
    <cellStyle name="Normal 5 5 6 3 2" xfId="14570" xr:uid="{3C2C626A-5CA5-41AA-B4F4-1686B1B6B5C0}"/>
    <cellStyle name="Normal 5 5 6 4" xfId="10357" xr:uid="{664C718E-5E2C-4F42-927E-AF28045B9D16}"/>
    <cellStyle name="Normal 5 5 7" xfId="2182" xr:uid="{00000000-0005-0000-0000-0000951B0000}"/>
    <cellStyle name="Normal 5 5 7 2" xfId="4411" xr:uid="{00000000-0005-0000-0000-0000961B0000}"/>
    <cellStyle name="Normal 5 5 7 2 2" xfId="8633" xr:uid="{00000000-0005-0000-0000-0000971B0000}"/>
    <cellStyle name="Normal 5 5 7 2 2 2" xfId="17128" xr:uid="{EEE879A0-B678-4414-A8BD-AF475FFA7284}"/>
    <cellStyle name="Normal 5 5 7 2 3" xfId="12915" xr:uid="{70AF3F39-6B60-48C8-BB50-A697E1776687}"/>
    <cellStyle name="Normal 5 5 7 3" xfId="6488" xr:uid="{00000000-0005-0000-0000-0000981B0000}"/>
    <cellStyle name="Normal 5 5 7 3 2" xfId="14983" xr:uid="{05816BB3-7A87-4413-A7CD-152B64432A0B}"/>
    <cellStyle name="Normal 5 5 7 4" xfId="10770" xr:uid="{E78CD0D7-1B9E-4D28-BAF6-42013EFE5C8C}"/>
    <cellStyle name="Normal 5 5 8" xfId="2618" xr:uid="{00000000-0005-0000-0000-0000991B0000}"/>
    <cellStyle name="Normal 5 5 8 2" xfId="6901" xr:uid="{00000000-0005-0000-0000-00009A1B0000}"/>
    <cellStyle name="Normal 5 5 8 2 2" xfId="15396" xr:uid="{42A44921-5C7A-4159-B4ED-73E1E4F059F6}"/>
    <cellStyle name="Normal 5 5 8 3" xfId="11183" xr:uid="{509DF198-1275-4B4F-88D0-CA7C36D401F8}"/>
    <cellStyle name="Normal 5 5 9" xfId="4836" xr:uid="{00000000-0005-0000-0000-00009B1B0000}"/>
    <cellStyle name="Normal 5 5 9 2" xfId="13331" xr:uid="{EF7447C7-2990-40E4-B0B3-CE8F4174F8DF}"/>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94" xr:uid="{E40A56ED-ACAD-4C5E-A95E-01DFD1D3D789}"/>
    <cellStyle name="Normal 5 6 2 2 2 3" xfId="11681" xr:uid="{9479C9B0-A18B-4512-A1A9-B7EF91B0FB5E}"/>
    <cellStyle name="Normal 5 6 2 2 3" xfId="5254" xr:uid="{00000000-0005-0000-0000-0000A11B0000}"/>
    <cellStyle name="Normal 5 6 2 2 3 2" xfId="13749" xr:uid="{F60E6881-F847-4E46-A131-D342373313FC}"/>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2 2 2" xfId="16307" xr:uid="{6A8A49B8-7C2B-4A05-86EA-39B9108BE6F0}"/>
    <cellStyle name="Normal 5 6 2 3 2 3" xfId="12094" xr:uid="{FEB821BA-D4C9-4BE5-9283-D834C3A3DC30}"/>
    <cellStyle name="Normal 5 6 2 3 3" xfId="5667" xr:uid="{00000000-0005-0000-0000-0000A51B0000}"/>
    <cellStyle name="Normal 5 6 2 3 3 2" xfId="14162" xr:uid="{4DD6A467-BC1B-460A-BE2B-13A8BA73D7BE}"/>
    <cellStyle name="Normal 5 6 2 3 4" xfId="9949" xr:uid="{9CFF1267-0DF2-4D25-8A2F-C66955D188FC}"/>
    <cellStyle name="Normal 5 6 2 4" xfId="1773" xr:uid="{00000000-0005-0000-0000-0000A61B0000}"/>
    <cellStyle name="Normal 5 6 2 4 2" xfId="4003" xr:uid="{00000000-0005-0000-0000-0000A71B0000}"/>
    <cellStyle name="Normal 5 6 2 4 2 2" xfId="8225" xr:uid="{00000000-0005-0000-0000-0000A81B0000}"/>
    <cellStyle name="Normal 5 6 2 4 2 2 2" xfId="16720" xr:uid="{E0BED648-BE53-49AB-AA4C-5CE2DA2E05C3}"/>
    <cellStyle name="Normal 5 6 2 4 2 3" xfId="12507" xr:uid="{B1C25364-BF6A-47FF-9903-1384C2BCC4DC}"/>
    <cellStyle name="Normal 5 6 2 4 3" xfId="6080" xr:uid="{00000000-0005-0000-0000-0000A91B0000}"/>
    <cellStyle name="Normal 5 6 2 4 3 2" xfId="14575" xr:uid="{7E23BA45-B981-499C-9E9D-CDAA6389CA34}"/>
    <cellStyle name="Normal 5 6 2 4 4" xfId="10362" xr:uid="{E93EA516-63CE-4A7D-B670-4BEAF9FA8B18}"/>
    <cellStyle name="Normal 5 6 2 5" xfId="2187" xr:uid="{00000000-0005-0000-0000-0000AA1B0000}"/>
    <cellStyle name="Normal 5 6 2 5 2" xfId="4416" xr:uid="{00000000-0005-0000-0000-0000AB1B0000}"/>
    <cellStyle name="Normal 5 6 2 5 2 2" xfId="8638" xr:uid="{00000000-0005-0000-0000-0000AC1B0000}"/>
    <cellStyle name="Normal 5 6 2 5 2 2 2" xfId="17133" xr:uid="{5C184831-AD3F-41A9-99DC-FDF3EB304649}"/>
    <cellStyle name="Normal 5 6 2 5 2 3" xfId="12920" xr:uid="{B7040798-6E00-4B1A-9838-1B098E5B8D1C}"/>
    <cellStyle name="Normal 5 6 2 5 3" xfId="6493" xr:uid="{00000000-0005-0000-0000-0000AD1B0000}"/>
    <cellStyle name="Normal 5 6 2 5 3 2" xfId="14988" xr:uid="{94E40721-47B2-4797-9E81-FE0CCE86D74B}"/>
    <cellStyle name="Normal 5 6 2 5 4" xfId="10775" xr:uid="{C5A018FE-A3D8-4936-8FC1-DF4BC86570DE}"/>
    <cellStyle name="Normal 5 6 2 6" xfId="2623" xr:uid="{00000000-0005-0000-0000-0000AE1B0000}"/>
    <cellStyle name="Normal 5 6 2 6 2" xfId="6906" xr:uid="{00000000-0005-0000-0000-0000AF1B0000}"/>
    <cellStyle name="Normal 5 6 2 6 2 2" xfId="15401" xr:uid="{070C2E85-ED05-44B9-8106-C501B580CD20}"/>
    <cellStyle name="Normal 5 6 2 6 3" xfId="11188" xr:uid="{F4295D8C-326B-4FD0-B4EB-4EAAEAA5EC52}"/>
    <cellStyle name="Normal 5 6 2 7" xfId="4841" xr:uid="{00000000-0005-0000-0000-0000B01B0000}"/>
    <cellStyle name="Normal 5 6 2 7 2" xfId="13336" xr:uid="{70997DEB-A948-4F55-A285-62BF19426042}"/>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2 2 2" xfId="15893" xr:uid="{CEEECE0C-BF63-42E8-994D-448B1889FF17}"/>
    <cellStyle name="Normal 5 6 3 2 3" xfId="11680" xr:uid="{A5D320CB-F6EB-421B-B495-7FF4AF6A5EFF}"/>
    <cellStyle name="Normal 5 6 3 3" xfId="5253" xr:uid="{00000000-0005-0000-0000-0000B41B0000}"/>
    <cellStyle name="Normal 5 6 3 3 2" xfId="13748" xr:uid="{2CC86885-28FE-4923-A0D6-30E72718CAD9}"/>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2 2 2" xfId="16306" xr:uid="{823ED45C-4942-4C8E-A65E-8CC3E5C85E85}"/>
    <cellStyle name="Normal 5 6 4 2 3" xfId="12093" xr:uid="{83D0C8B9-8103-4BB1-AF57-D145FA4DA05A}"/>
    <cellStyle name="Normal 5 6 4 3" xfId="5666" xr:uid="{00000000-0005-0000-0000-0000B81B0000}"/>
    <cellStyle name="Normal 5 6 4 3 2" xfId="14161" xr:uid="{53D8A5A0-885F-4D68-A8B4-6FF6F77B150C}"/>
    <cellStyle name="Normal 5 6 4 4" xfId="9948" xr:uid="{B7C848B7-ACAE-45DF-A992-2BBEDF733EB2}"/>
    <cellStyle name="Normal 5 6 5" xfId="1772" xr:uid="{00000000-0005-0000-0000-0000B91B0000}"/>
    <cellStyle name="Normal 5 6 5 2" xfId="4002" xr:uid="{00000000-0005-0000-0000-0000BA1B0000}"/>
    <cellStyle name="Normal 5 6 5 2 2" xfId="8224" xr:uid="{00000000-0005-0000-0000-0000BB1B0000}"/>
    <cellStyle name="Normal 5 6 5 2 2 2" xfId="16719" xr:uid="{CEFE76EA-2E27-4647-BA52-4CDB71BB71B0}"/>
    <cellStyle name="Normal 5 6 5 2 3" xfId="12506" xr:uid="{CE6D7D8D-D05F-4F94-A9A2-672088D92EC6}"/>
    <cellStyle name="Normal 5 6 5 3" xfId="6079" xr:uid="{00000000-0005-0000-0000-0000BC1B0000}"/>
    <cellStyle name="Normal 5 6 5 3 2" xfId="14574" xr:uid="{8287413E-78EB-4FCB-8AC1-2B85FC64D77A}"/>
    <cellStyle name="Normal 5 6 5 4" xfId="10361" xr:uid="{7E22E1AE-3374-43C5-ADAD-E736FA3AF291}"/>
    <cellStyle name="Normal 5 6 6" xfId="2186" xr:uid="{00000000-0005-0000-0000-0000BD1B0000}"/>
    <cellStyle name="Normal 5 6 6 2" xfId="4415" xr:uid="{00000000-0005-0000-0000-0000BE1B0000}"/>
    <cellStyle name="Normal 5 6 6 2 2" xfId="8637" xr:uid="{00000000-0005-0000-0000-0000BF1B0000}"/>
    <cellStyle name="Normal 5 6 6 2 2 2" xfId="17132" xr:uid="{953B4BFF-4000-4FF8-A016-0D67DC5264E9}"/>
    <cellStyle name="Normal 5 6 6 2 3" xfId="12919" xr:uid="{A447B75B-FD7C-4106-80E7-EA03785EE8B3}"/>
    <cellStyle name="Normal 5 6 6 3" xfId="6492" xr:uid="{00000000-0005-0000-0000-0000C01B0000}"/>
    <cellStyle name="Normal 5 6 6 3 2" xfId="14987" xr:uid="{4AA37519-BB9D-4FFC-B569-E372486D692A}"/>
    <cellStyle name="Normal 5 6 6 4" xfId="10774" xr:uid="{9443CBE1-8C26-4B41-AAF4-D14195B26E2C}"/>
    <cellStyle name="Normal 5 6 7" xfId="2622" xr:uid="{00000000-0005-0000-0000-0000C11B0000}"/>
    <cellStyle name="Normal 5 6 7 2" xfId="6905" xr:uid="{00000000-0005-0000-0000-0000C21B0000}"/>
    <cellStyle name="Normal 5 6 7 2 2" xfId="15400" xr:uid="{51D734F6-A613-44FF-B6B9-6AD6D76D2FEE}"/>
    <cellStyle name="Normal 5 6 7 3" xfId="11187" xr:uid="{74DA6070-AD64-435E-B1CE-242109F6688C}"/>
    <cellStyle name="Normal 5 6 8" xfId="4840" xr:uid="{00000000-0005-0000-0000-0000C31B0000}"/>
    <cellStyle name="Normal 5 6 8 2" xfId="13335" xr:uid="{880D1BB2-3780-4CB6-B394-604FB19AA6B2}"/>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95" xr:uid="{30FAB81B-1BD7-4E12-BDE1-74B9B37A6F44}"/>
    <cellStyle name="Normal 5 7 2 2 3" xfId="11682" xr:uid="{FC177F1E-DE03-42E1-AD42-419799A8BC38}"/>
    <cellStyle name="Normal 5 7 2 3" xfId="5255" xr:uid="{00000000-0005-0000-0000-0000C81B0000}"/>
    <cellStyle name="Normal 5 7 2 3 2" xfId="13750" xr:uid="{5276A84C-743E-4823-A9C4-9EA4998AAC31}"/>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2 2 2" xfId="16308" xr:uid="{ABDA868E-9E52-43C7-A792-2B764D8135E2}"/>
    <cellStyle name="Normal 5 7 3 2 3" xfId="12095" xr:uid="{AECA3444-8426-4BB4-8FB8-7BEBAF725B3D}"/>
    <cellStyle name="Normal 5 7 3 3" xfId="5668" xr:uid="{00000000-0005-0000-0000-0000CC1B0000}"/>
    <cellStyle name="Normal 5 7 3 3 2" xfId="14163" xr:uid="{44D66286-F374-4D4B-9414-360CD2202454}"/>
    <cellStyle name="Normal 5 7 3 4" xfId="9950" xr:uid="{2D4EEADD-7121-467A-A63C-6A91714A043F}"/>
    <cellStyle name="Normal 5 7 4" xfId="1774" xr:uid="{00000000-0005-0000-0000-0000CD1B0000}"/>
    <cellStyle name="Normal 5 7 4 2" xfId="4004" xr:uid="{00000000-0005-0000-0000-0000CE1B0000}"/>
    <cellStyle name="Normal 5 7 4 2 2" xfId="8226" xr:uid="{00000000-0005-0000-0000-0000CF1B0000}"/>
    <cellStyle name="Normal 5 7 4 2 2 2" xfId="16721" xr:uid="{E9BA3585-D0C7-40C0-B3D5-F838DC5B090D}"/>
    <cellStyle name="Normal 5 7 4 2 3" xfId="12508" xr:uid="{A8839410-37B0-4AA8-897E-6E584F2F24CC}"/>
    <cellStyle name="Normal 5 7 4 3" xfId="6081" xr:uid="{00000000-0005-0000-0000-0000D01B0000}"/>
    <cellStyle name="Normal 5 7 4 3 2" xfId="14576" xr:uid="{0F94D642-18B4-402E-A559-35CAFF2B534E}"/>
    <cellStyle name="Normal 5 7 4 4" xfId="10363" xr:uid="{4F9A023E-77C8-401C-A226-881B1BFA0A30}"/>
    <cellStyle name="Normal 5 7 5" xfId="2188" xr:uid="{00000000-0005-0000-0000-0000D11B0000}"/>
    <cellStyle name="Normal 5 7 5 2" xfId="4417" xr:uid="{00000000-0005-0000-0000-0000D21B0000}"/>
    <cellStyle name="Normal 5 7 5 2 2" xfId="8639" xr:uid="{00000000-0005-0000-0000-0000D31B0000}"/>
    <cellStyle name="Normal 5 7 5 2 2 2" xfId="17134" xr:uid="{62C894B4-6051-409A-8D50-6C07BB6BF44D}"/>
    <cellStyle name="Normal 5 7 5 2 3" xfId="12921" xr:uid="{F9855546-ABA1-4F40-9147-C07F17A6EAD1}"/>
    <cellStyle name="Normal 5 7 5 3" xfId="6494" xr:uid="{00000000-0005-0000-0000-0000D41B0000}"/>
    <cellStyle name="Normal 5 7 5 3 2" xfId="14989" xr:uid="{1A1F6EEC-FD47-4356-B30B-E390AAC978F1}"/>
    <cellStyle name="Normal 5 7 5 4" xfId="10776" xr:uid="{BBD09FD2-FA74-4E2C-B967-EB40642F8554}"/>
    <cellStyle name="Normal 5 7 6" xfId="2624" xr:uid="{00000000-0005-0000-0000-0000D51B0000}"/>
    <cellStyle name="Normal 5 7 6 2" xfId="6907" xr:uid="{00000000-0005-0000-0000-0000D61B0000}"/>
    <cellStyle name="Normal 5 7 6 2 2" xfId="15402" xr:uid="{B5DF8826-8D65-4FFF-AE9F-A43F5CED053A}"/>
    <cellStyle name="Normal 5 7 6 3" xfId="11189" xr:uid="{A2565A15-9D9A-45FC-8566-741D506A7298}"/>
    <cellStyle name="Normal 5 7 7" xfId="4842" xr:uid="{00000000-0005-0000-0000-0000D71B0000}"/>
    <cellStyle name="Normal 5 7 7 2" xfId="13337" xr:uid="{A537B9BE-1F16-4996-8A9C-334E89120C7D}"/>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2 2 2" xfId="15832" xr:uid="{4C8DE53B-6BF4-4B1E-92D6-D48913CE2C91}"/>
    <cellStyle name="Normal 5 8 2 3" xfId="11619" xr:uid="{2DAC7982-87D5-4685-A199-FFD0F73C3F1A}"/>
    <cellStyle name="Normal 5 8 3" xfId="5192" xr:uid="{00000000-0005-0000-0000-0000DB1B0000}"/>
    <cellStyle name="Normal 5 8 3 2" xfId="13687" xr:uid="{2CF43656-398A-459D-9FD2-4A3606C10CDC}"/>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2 2 2" xfId="16245" xr:uid="{25BFE76E-1C9D-4E8A-B7DE-1E81F9F284AA}"/>
    <cellStyle name="Normal 5 9 2 3" xfId="12032" xr:uid="{F23A85EC-91C7-424C-BF4D-C5E5ECB94D3F}"/>
    <cellStyle name="Normal 5 9 3" xfId="5605" xr:uid="{00000000-0005-0000-0000-0000DF1B0000}"/>
    <cellStyle name="Normal 5 9 3 2" xfId="14100" xr:uid="{53B7B4D3-99CA-4810-B076-1933447B944E}"/>
    <cellStyle name="Normal 5 9 4" xfId="9887" xr:uid="{BEACF568-853F-4FFA-82E8-9144AE58549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135" xr:uid="{AB2FED80-95DF-4746-8FD2-5CD0BA5765E1}"/>
    <cellStyle name="Normal 8 10 2 3" xfId="12922" xr:uid="{E4EF0FF3-40F2-4C80-9720-75DFA0F18CE4}"/>
    <cellStyle name="Normal 8 10 3" xfId="6495" xr:uid="{00000000-0005-0000-0000-0000EB1B0000}"/>
    <cellStyle name="Normal 8 10 3 2" xfId="14990" xr:uid="{82EF2BC1-3B7E-4C7B-B0AD-36EAEE5818C7}"/>
    <cellStyle name="Normal 8 10 4" xfId="10777" xr:uid="{3DA161BE-2CAE-4B58-9A7B-8FEA8F435D19}"/>
    <cellStyle name="Normal 8 11" xfId="2625" xr:uid="{00000000-0005-0000-0000-0000EC1B0000}"/>
    <cellStyle name="Normal 8 11 2" xfId="6908" xr:uid="{00000000-0005-0000-0000-0000ED1B0000}"/>
    <cellStyle name="Normal 8 11 2 2" xfId="15403" xr:uid="{99CCAF70-210C-4354-9425-9084864292D2}"/>
    <cellStyle name="Normal 8 11 3" xfId="11190" xr:uid="{03E53392-D86A-49CD-B417-FA2182007128}"/>
    <cellStyle name="Normal 8 12" xfId="4843" xr:uid="{00000000-0005-0000-0000-0000EE1B0000}"/>
    <cellStyle name="Normal 8 12 2" xfId="13338" xr:uid="{BACD96FC-126E-4191-8C34-9A045AFD816E}"/>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0 2 2" xfId="15404" xr:uid="{F6FD081B-65D7-4904-996A-F0E156CF5590}"/>
    <cellStyle name="Normal 8 2 10 3" xfId="11191" xr:uid="{ACF0F6A4-D2DD-4CA4-A4B4-D5CC5E9484BE}"/>
    <cellStyle name="Normal 8 2 11" xfId="4844" xr:uid="{00000000-0005-0000-0000-0000F21B0000}"/>
    <cellStyle name="Normal 8 2 11 2" xfId="13339" xr:uid="{DD7C4A40-2086-45BF-B286-D4278FF53852}"/>
    <cellStyle name="Normal 8 2 12" xfId="8751" xr:uid="{476D0553-3387-4D9F-B05B-56EC7A36F7A1}"/>
    <cellStyle name="Normal 8 2 2" xfId="480" xr:uid="{00000000-0005-0000-0000-0000F31B0000}"/>
    <cellStyle name="Normal 8 2 2 10" xfId="4845" xr:uid="{00000000-0005-0000-0000-0000F41B0000}"/>
    <cellStyle name="Normal 8 2 2 10 2" xfId="13340" xr:uid="{BE090942-2363-4688-884B-F22CC530D32A}"/>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901" xr:uid="{A17C7E35-36E5-48DA-9452-EABAC0F2EE5C}"/>
    <cellStyle name="Normal 8 2 2 2 2 2 2 2 3" xfId="11688" xr:uid="{719B893B-8B46-40B4-AD92-ED28B5C6AA86}"/>
    <cellStyle name="Normal 8 2 2 2 2 2 2 3" xfId="5261" xr:uid="{00000000-0005-0000-0000-0000FB1B0000}"/>
    <cellStyle name="Normal 8 2 2 2 2 2 2 3 2" xfId="13756" xr:uid="{E54C13C3-4197-42E4-8193-66094A4A7843}"/>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314" xr:uid="{4C0256F4-05D7-447B-B488-A8D1CCF72C2E}"/>
    <cellStyle name="Normal 8 2 2 2 2 2 3 2 3" xfId="12101" xr:uid="{CE9A7A5E-4348-4389-8455-2F074AC77455}"/>
    <cellStyle name="Normal 8 2 2 2 2 2 3 3" xfId="5674" xr:uid="{00000000-0005-0000-0000-0000FF1B0000}"/>
    <cellStyle name="Normal 8 2 2 2 2 2 3 3 2" xfId="14169" xr:uid="{9C72EB6F-5A87-47F7-B4EB-0E786DD2B2E3}"/>
    <cellStyle name="Normal 8 2 2 2 2 2 3 4" xfId="9956" xr:uid="{0A8B2551-FFCA-4B22-B1AD-3556D77322D9}"/>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727" xr:uid="{CFB013D7-9359-4F81-994E-0F1582DC2F0E}"/>
    <cellStyle name="Normal 8 2 2 2 2 2 4 2 3" xfId="12514" xr:uid="{2B8C2309-EC93-420C-8974-F3E637C00DE6}"/>
    <cellStyle name="Normal 8 2 2 2 2 2 4 3" xfId="6087" xr:uid="{00000000-0005-0000-0000-0000031C0000}"/>
    <cellStyle name="Normal 8 2 2 2 2 2 4 3 2" xfId="14582" xr:uid="{35597557-5F3F-40BE-8A17-E4A661502825}"/>
    <cellStyle name="Normal 8 2 2 2 2 2 4 4" xfId="10369" xr:uid="{A7A5CE3B-F491-489D-BC02-E00D281AB2C4}"/>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140" xr:uid="{41646895-1CF5-4ABA-B3B9-F389A9570D47}"/>
    <cellStyle name="Normal 8 2 2 2 2 2 5 2 3" xfId="12927" xr:uid="{E5993466-5576-49CE-AD81-D50A356DB1CE}"/>
    <cellStyle name="Normal 8 2 2 2 2 2 5 3" xfId="6500" xr:uid="{00000000-0005-0000-0000-0000071C0000}"/>
    <cellStyle name="Normal 8 2 2 2 2 2 5 3 2" xfId="14995" xr:uid="{7B7C3B8C-F755-4BC7-A9E5-61C83CF7CBD3}"/>
    <cellStyle name="Normal 8 2 2 2 2 2 5 4" xfId="10782" xr:uid="{0F784CD6-E38D-46E0-AAFC-D158549E14D3}"/>
    <cellStyle name="Normal 8 2 2 2 2 2 6" xfId="2630" xr:uid="{00000000-0005-0000-0000-0000081C0000}"/>
    <cellStyle name="Normal 8 2 2 2 2 2 6 2" xfId="6913" xr:uid="{00000000-0005-0000-0000-0000091C0000}"/>
    <cellStyle name="Normal 8 2 2 2 2 2 6 2 2" xfId="15408" xr:uid="{1258BB7D-8D9C-4735-8BA4-37E1356A9B54}"/>
    <cellStyle name="Normal 8 2 2 2 2 2 6 3" xfId="11195" xr:uid="{5A0D0A5C-C629-43AC-B8BE-41B07559BA03}"/>
    <cellStyle name="Normal 8 2 2 2 2 2 7" xfId="4848" xr:uid="{00000000-0005-0000-0000-00000A1C0000}"/>
    <cellStyle name="Normal 8 2 2 2 2 2 7 2" xfId="13343" xr:uid="{CD55F8D6-6238-4F14-A40A-22EA6CADC10D}"/>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900" xr:uid="{403553C8-B5F0-4EBB-9C04-4E57CE2980CA}"/>
    <cellStyle name="Normal 8 2 2 2 2 3 2 3" xfId="11687" xr:uid="{C802CC73-5771-4459-936B-33A4897AFD91}"/>
    <cellStyle name="Normal 8 2 2 2 2 3 3" xfId="5260" xr:uid="{00000000-0005-0000-0000-00000E1C0000}"/>
    <cellStyle name="Normal 8 2 2 2 2 3 3 2" xfId="13755" xr:uid="{19C419DF-A7B0-499F-BF0E-A2D446242D01}"/>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313" xr:uid="{DC4CE631-03E9-4012-8845-924292163A7B}"/>
    <cellStyle name="Normal 8 2 2 2 2 4 2 3" xfId="12100" xr:uid="{5041050F-97F0-4752-9A04-84C7E04AACFA}"/>
    <cellStyle name="Normal 8 2 2 2 2 4 3" xfId="5673" xr:uid="{00000000-0005-0000-0000-0000121C0000}"/>
    <cellStyle name="Normal 8 2 2 2 2 4 3 2" xfId="14168" xr:uid="{9D87F137-66F8-42F7-A77A-1B53CBB774AE}"/>
    <cellStyle name="Normal 8 2 2 2 2 4 4" xfId="9955" xr:uid="{4680CE0D-E5FF-4F43-8453-68EB2777CCDB}"/>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726" xr:uid="{397EAC26-63E4-44E4-B5BA-3D0215240ED8}"/>
    <cellStyle name="Normal 8 2 2 2 2 5 2 3" xfId="12513" xr:uid="{471A3CF7-DF59-415C-AADE-CF232B7D986D}"/>
    <cellStyle name="Normal 8 2 2 2 2 5 3" xfId="6086" xr:uid="{00000000-0005-0000-0000-0000161C0000}"/>
    <cellStyle name="Normal 8 2 2 2 2 5 3 2" xfId="14581" xr:uid="{57CE3606-AB63-44D0-809F-F52F7DE9E743}"/>
    <cellStyle name="Normal 8 2 2 2 2 5 4" xfId="10368" xr:uid="{954766A1-6941-4566-8243-8E2A7B3FC725}"/>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139" xr:uid="{AB8CFC14-FD35-4D52-B4A2-20173576E35C}"/>
    <cellStyle name="Normal 8 2 2 2 2 6 2 3" xfId="12926" xr:uid="{C8C9026B-20A3-4E5E-8392-A13242777DB8}"/>
    <cellStyle name="Normal 8 2 2 2 2 6 3" xfId="6499" xr:uid="{00000000-0005-0000-0000-00001A1C0000}"/>
    <cellStyle name="Normal 8 2 2 2 2 6 3 2" xfId="14994" xr:uid="{1084E301-E103-4955-8685-F9E789883B0E}"/>
    <cellStyle name="Normal 8 2 2 2 2 6 4" xfId="10781" xr:uid="{D73827DA-9BE3-4BAE-AA91-E2B56F0835CE}"/>
    <cellStyle name="Normal 8 2 2 2 2 7" xfId="2629" xr:uid="{00000000-0005-0000-0000-00001B1C0000}"/>
    <cellStyle name="Normal 8 2 2 2 2 7 2" xfId="6912" xr:uid="{00000000-0005-0000-0000-00001C1C0000}"/>
    <cellStyle name="Normal 8 2 2 2 2 7 2 2" xfId="15407" xr:uid="{C10402BC-5690-49F3-9503-5376525E54BA}"/>
    <cellStyle name="Normal 8 2 2 2 2 7 3" xfId="11194" xr:uid="{2FC2D85C-F25B-4D25-AC9C-7B8D6ED48517}"/>
    <cellStyle name="Normal 8 2 2 2 2 8" xfId="4847" xr:uid="{00000000-0005-0000-0000-00001D1C0000}"/>
    <cellStyle name="Normal 8 2 2 2 2 8 2" xfId="13342" xr:uid="{53B6CEB2-6A2C-4388-BF55-07266D3FB71D}"/>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902" xr:uid="{59A646FA-44D2-4D8F-B023-0BE2A90F3D99}"/>
    <cellStyle name="Normal 8 2 2 2 3 2 2 3" xfId="11689" xr:uid="{19E10A7B-A7B5-4D23-BE4B-990C4FEC5189}"/>
    <cellStyle name="Normal 8 2 2 2 3 2 3" xfId="5262" xr:uid="{00000000-0005-0000-0000-0000221C0000}"/>
    <cellStyle name="Normal 8 2 2 2 3 2 3 2" xfId="13757" xr:uid="{85ED3CFB-0273-419B-9525-87599ED4D7A9}"/>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315" xr:uid="{92658CA9-62A7-47CD-82FE-8ADDDE7170AA}"/>
    <cellStyle name="Normal 8 2 2 2 3 3 2 3" xfId="12102" xr:uid="{CC328E85-82F5-4630-B98F-0E43BD9ED712}"/>
    <cellStyle name="Normal 8 2 2 2 3 3 3" xfId="5675" xr:uid="{00000000-0005-0000-0000-0000261C0000}"/>
    <cellStyle name="Normal 8 2 2 2 3 3 3 2" xfId="14170" xr:uid="{A98EB854-029C-44F4-8232-C8C9CD99146E}"/>
    <cellStyle name="Normal 8 2 2 2 3 3 4" xfId="9957" xr:uid="{EE12BFB5-56D9-40CD-AC30-44D6DF989472}"/>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728" xr:uid="{0F110AB9-C443-4562-BEB1-015C582AED5A}"/>
    <cellStyle name="Normal 8 2 2 2 3 4 2 3" xfId="12515" xr:uid="{6D022AA4-E7FC-47DD-B917-95C1F44E793A}"/>
    <cellStyle name="Normal 8 2 2 2 3 4 3" xfId="6088" xr:uid="{00000000-0005-0000-0000-00002A1C0000}"/>
    <cellStyle name="Normal 8 2 2 2 3 4 3 2" xfId="14583" xr:uid="{529922C6-E3F2-4F97-945A-25BD8184B9E0}"/>
    <cellStyle name="Normal 8 2 2 2 3 4 4" xfId="10370" xr:uid="{A0A2A819-1D2D-433E-A64C-BB779D6092C9}"/>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141" xr:uid="{01833C62-55E0-42EB-9820-385DB9CE4487}"/>
    <cellStyle name="Normal 8 2 2 2 3 5 2 3" xfId="12928" xr:uid="{E56D0D3F-C566-41D5-8590-1B7E794E1C2C}"/>
    <cellStyle name="Normal 8 2 2 2 3 5 3" xfId="6501" xr:uid="{00000000-0005-0000-0000-00002E1C0000}"/>
    <cellStyle name="Normal 8 2 2 2 3 5 3 2" xfId="14996" xr:uid="{E2CFD3B1-6EF6-4950-B510-00CBF097C29A}"/>
    <cellStyle name="Normal 8 2 2 2 3 5 4" xfId="10783" xr:uid="{4FC7D909-4CFA-4BBE-B481-B63E8675257A}"/>
    <cellStyle name="Normal 8 2 2 2 3 6" xfId="2631" xr:uid="{00000000-0005-0000-0000-00002F1C0000}"/>
    <cellStyle name="Normal 8 2 2 2 3 6 2" xfId="6914" xr:uid="{00000000-0005-0000-0000-0000301C0000}"/>
    <cellStyle name="Normal 8 2 2 2 3 6 2 2" xfId="15409" xr:uid="{67B727F2-3442-48D0-848D-DC3F188B9F3E}"/>
    <cellStyle name="Normal 8 2 2 2 3 6 3" xfId="11196" xr:uid="{5F141E74-45EA-49FD-9A4B-3FA5CA9C5901}"/>
    <cellStyle name="Normal 8 2 2 2 3 7" xfId="4849" xr:uid="{00000000-0005-0000-0000-0000311C0000}"/>
    <cellStyle name="Normal 8 2 2 2 3 7 2" xfId="13344" xr:uid="{13CFD59A-B029-442D-B15B-AAB713FAC3C3}"/>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99" xr:uid="{B381F784-311C-4D9A-8B3C-65ED794975B3}"/>
    <cellStyle name="Normal 8 2 2 2 4 2 3" xfId="11686" xr:uid="{EF79C15C-F612-4CA8-9713-A4A79C180162}"/>
    <cellStyle name="Normal 8 2 2 2 4 3" xfId="5259" xr:uid="{00000000-0005-0000-0000-0000351C0000}"/>
    <cellStyle name="Normal 8 2 2 2 4 3 2" xfId="13754" xr:uid="{3B629584-2B4D-48B0-A781-D232BEEB0983}"/>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312" xr:uid="{6A213BEB-F602-4B26-B98F-40D14465EF3C}"/>
    <cellStyle name="Normal 8 2 2 2 5 2 3" xfId="12099" xr:uid="{70837289-941B-4117-AACC-E1FF0F665E2E}"/>
    <cellStyle name="Normal 8 2 2 2 5 3" xfId="5672" xr:uid="{00000000-0005-0000-0000-0000391C0000}"/>
    <cellStyle name="Normal 8 2 2 2 5 3 2" xfId="14167" xr:uid="{22D1B2D9-2838-44B3-A09F-544FF9E5F0BB}"/>
    <cellStyle name="Normal 8 2 2 2 5 4" xfId="9954" xr:uid="{03CFF1B1-E584-464F-81B0-4A4839162287}"/>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725" xr:uid="{F45D028D-F589-45F5-9A14-EFBF14DBF2BA}"/>
    <cellStyle name="Normal 8 2 2 2 6 2 3" xfId="12512" xr:uid="{7879DC36-4D18-4492-BE39-2A7AC8E3806D}"/>
    <cellStyle name="Normal 8 2 2 2 6 3" xfId="6085" xr:uid="{00000000-0005-0000-0000-00003D1C0000}"/>
    <cellStyle name="Normal 8 2 2 2 6 3 2" xfId="14580" xr:uid="{35777E57-0B0A-4F08-B8FE-F9C8182ACF44}"/>
    <cellStyle name="Normal 8 2 2 2 6 4" xfId="10367" xr:uid="{357B40EE-5433-480D-8823-E3990C80AC06}"/>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138" xr:uid="{F5B0D854-63C3-44A2-A591-EC488021A463}"/>
    <cellStyle name="Normal 8 2 2 2 7 2 3" xfId="12925" xr:uid="{3F67BCE7-F030-49D3-AB82-9C94A3170985}"/>
    <cellStyle name="Normal 8 2 2 2 7 3" xfId="6498" xr:uid="{00000000-0005-0000-0000-0000411C0000}"/>
    <cellStyle name="Normal 8 2 2 2 7 3 2" xfId="14993" xr:uid="{3B5E325E-76DB-4E38-BF2A-8425B200E8F8}"/>
    <cellStyle name="Normal 8 2 2 2 7 4" xfId="10780" xr:uid="{2116B576-68E8-4833-9132-BADC23F32676}"/>
    <cellStyle name="Normal 8 2 2 2 8" xfId="2628" xr:uid="{00000000-0005-0000-0000-0000421C0000}"/>
    <cellStyle name="Normal 8 2 2 2 8 2" xfId="6911" xr:uid="{00000000-0005-0000-0000-0000431C0000}"/>
    <cellStyle name="Normal 8 2 2 2 8 2 2" xfId="15406" xr:uid="{59C7C278-4648-49BD-869C-BC9A32020F28}"/>
    <cellStyle name="Normal 8 2 2 2 8 3" xfId="11193" xr:uid="{24D27F00-EE66-4960-A8F3-1310DFB280DB}"/>
    <cellStyle name="Normal 8 2 2 2 9" xfId="4846" xr:uid="{00000000-0005-0000-0000-0000441C0000}"/>
    <cellStyle name="Normal 8 2 2 2 9 2" xfId="13341" xr:uid="{6C0274B1-B6BD-4911-B6A9-3FCB14C86317}"/>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904" xr:uid="{E028D4E3-715C-4077-BD31-B9F8593BEC6D}"/>
    <cellStyle name="Normal 8 2 2 3 2 2 2 3" xfId="11691" xr:uid="{88085B33-E463-433E-BD84-7C04C1B01F48}"/>
    <cellStyle name="Normal 8 2 2 3 2 2 3" xfId="5264" xr:uid="{00000000-0005-0000-0000-00004A1C0000}"/>
    <cellStyle name="Normal 8 2 2 3 2 2 3 2" xfId="13759" xr:uid="{7F52EC9B-ADC3-4A70-AD73-F1697791A2FE}"/>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317" xr:uid="{DF2B4161-D5D9-4540-A220-F1127B4A49CC}"/>
    <cellStyle name="Normal 8 2 2 3 2 3 2 3" xfId="12104" xr:uid="{4F52B1AA-E12F-45D1-938C-9385EB08276D}"/>
    <cellStyle name="Normal 8 2 2 3 2 3 3" xfId="5677" xr:uid="{00000000-0005-0000-0000-00004E1C0000}"/>
    <cellStyle name="Normal 8 2 2 3 2 3 3 2" xfId="14172" xr:uid="{D0D778E2-E8F6-4B5A-A392-289129D17D4E}"/>
    <cellStyle name="Normal 8 2 2 3 2 3 4" xfId="9959" xr:uid="{B63EE22A-26B5-4EE2-8F3B-E973AFF19464}"/>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730" xr:uid="{2BD0E3F9-7F7B-4B71-B12D-391BD054393F}"/>
    <cellStyle name="Normal 8 2 2 3 2 4 2 3" xfId="12517" xr:uid="{720EB8EB-4E13-48F8-9144-15DA5D874284}"/>
    <cellStyle name="Normal 8 2 2 3 2 4 3" xfId="6090" xr:uid="{00000000-0005-0000-0000-0000521C0000}"/>
    <cellStyle name="Normal 8 2 2 3 2 4 3 2" xfId="14585" xr:uid="{5105D6F8-EC34-482F-ABC7-6BB90E27B04E}"/>
    <cellStyle name="Normal 8 2 2 3 2 4 4" xfId="10372" xr:uid="{F76F09C1-B587-44C8-BCA7-565832139DEF}"/>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143" xr:uid="{1C4E75B3-6930-40DC-AAB1-11FAFAE5128E}"/>
    <cellStyle name="Normal 8 2 2 3 2 5 2 3" xfId="12930" xr:uid="{00B8DE6B-11B6-4014-959F-7623AADD7C2F}"/>
    <cellStyle name="Normal 8 2 2 3 2 5 3" xfId="6503" xr:uid="{00000000-0005-0000-0000-0000561C0000}"/>
    <cellStyle name="Normal 8 2 2 3 2 5 3 2" xfId="14998" xr:uid="{41457F47-6907-4821-938D-53AB69DF52D2}"/>
    <cellStyle name="Normal 8 2 2 3 2 5 4" xfId="10785" xr:uid="{DD532D19-04B5-4536-A963-A4C6388EA942}"/>
    <cellStyle name="Normal 8 2 2 3 2 6" xfId="2633" xr:uid="{00000000-0005-0000-0000-0000571C0000}"/>
    <cellStyle name="Normal 8 2 2 3 2 6 2" xfId="6916" xr:uid="{00000000-0005-0000-0000-0000581C0000}"/>
    <cellStyle name="Normal 8 2 2 3 2 6 2 2" xfId="15411" xr:uid="{1E88908D-12E0-4579-9D1C-583EFCB38D76}"/>
    <cellStyle name="Normal 8 2 2 3 2 6 3" xfId="11198" xr:uid="{82408C9D-D827-49BC-A22E-31B79460D2EA}"/>
    <cellStyle name="Normal 8 2 2 3 2 7" xfId="4851" xr:uid="{00000000-0005-0000-0000-0000591C0000}"/>
    <cellStyle name="Normal 8 2 2 3 2 7 2" xfId="13346" xr:uid="{8DAA7DBF-D9C7-402F-B5C1-29B73CC01C0A}"/>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903" xr:uid="{0F7F4CAC-65F5-4B50-B57A-EED69A3AE6C9}"/>
    <cellStyle name="Normal 8 2 2 3 3 2 3" xfId="11690" xr:uid="{A075C13F-CB6C-488B-8B5C-8368CBC75DE3}"/>
    <cellStyle name="Normal 8 2 2 3 3 3" xfId="5263" xr:uid="{00000000-0005-0000-0000-00005D1C0000}"/>
    <cellStyle name="Normal 8 2 2 3 3 3 2" xfId="13758" xr:uid="{AF76313E-C9D7-4C64-BBAF-F642DC0663C7}"/>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316" xr:uid="{A1249079-04D2-451B-98AB-32857ABC7315}"/>
    <cellStyle name="Normal 8 2 2 3 4 2 3" xfId="12103" xr:uid="{9221168B-6802-4D5F-A917-84A24A0F0536}"/>
    <cellStyle name="Normal 8 2 2 3 4 3" xfId="5676" xr:uid="{00000000-0005-0000-0000-0000611C0000}"/>
    <cellStyle name="Normal 8 2 2 3 4 3 2" xfId="14171" xr:uid="{7744F2CC-91B0-4EB5-ABD7-979D785AB3AB}"/>
    <cellStyle name="Normal 8 2 2 3 4 4" xfId="9958" xr:uid="{46F80771-FBB3-4809-93F3-73D6F9372D81}"/>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729" xr:uid="{2FC6B05B-EB95-47CA-B957-84F673973378}"/>
    <cellStyle name="Normal 8 2 2 3 5 2 3" xfId="12516" xr:uid="{D6B5D88D-8AEA-43FA-878F-16B182F0A355}"/>
    <cellStyle name="Normal 8 2 2 3 5 3" xfId="6089" xr:uid="{00000000-0005-0000-0000-0000651C0000}"/>
    <cellStyle name="Normal 8 2 2 3 5 3 2" xfId="14584" xr:uid="{BF3424D7-0D3B-412F-874C-EB20D95928FD}"/>
    <cellStyle name="Normal 8 2 2 3 5 4" xfId="10371" xr:uid="{377DBD1C-7E67-4FBF-AC7F-688E127B3F81}"/>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142" xr:uid="{83FABAD5-13F6-47A8-8C2F-91F45B79AB7B}"/>
    <cellStyle name="Normal 8 2 2 3 6 2 3" xfId="12929" xr:uid="{48A1F567-C602-4B75-98F3-7C6B0CF2BE55}"/>
    <cellStyle name="Normal 8 2 2 3 6 3" xfId="6502" xr:uid="{00000000-0005-0000-0000-0000691C0000}"/>
    <cellStyle name="Normal 8 2 2 3 6 3 2" xfId="14997" xr:uid="{8FAD6FD4-3E18-4BDA-845B-F6338C49B4F7}"/>
    <cellStyle name="Normal 8 2 2 3 6 4" xfId="10784" xr:uid="{CC6C611B-0752-42A0-8B49-8D25CC5B18CE}"/>
    <cellStyle name="Normal 8 2 2 3 7" xfId="2632" xr:uid="{00000000-0005-0000-0000-00006A1C0000}"/>
    <cellStyle name="Normal 8 2 2 3 7 2" xfId="6915" xr:uid="{00000000-0005-0000-0000-00006B1C0000}"/>
    <cellStyle name="Normal 8 2 2 3 7 2 2" xfId="15410" xr:uid="{0E3A1D46-EDED-49BB-841F-BBCA9AF7DFA0}"/>
    <cellStyle name="Normal 8 2 2 3 7 3" xfId="11197" xr:uid="{E8BBB6BA-F417-4A67-9D2E-5BDA99872CB4}"/>
    <cellStyle name="Normal 8 2 2 3 8" xfId="4850" xr:uid="{00000000-0005-0000-0000-00006C1C0000}"/>
    <cellStyle name="Normal 8 2 2 3 8 2" xfId="13345" xr:uid="{973C3B6A-B3B2-47DF-B319-FBB5601F861E}"/>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905" xr:uid="{05DA507C-F91F-4C0A-8327-CEE00C74FFAB}"/>
    <cellStyle name="Normal 8 2 2 4 2 2 3" xfId="11692" xr:uid="{86DB53FE-20CC-4DEB-9428-C5DBCB445726}"/>
    <cellStyle name="Normal 8 2 2 4 2 3" xfId="5265" xr:uid="{00000000-0005-0000-0000-0000711C0000}"/>
    <cellStyle name="Normal 8 2 2 4 2 3 2" xfId="13760" xr:uid="{F07D61E7-022D-4682-9508-4A30F6F9E9D6}"/>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318" xr:uid="{D7850D22-6A29-49A7-BA34-AA5740FB09BE}"/>
    <cellStyle name="Normal 8 2 2 4 3 2 3" xfId="12105" xr:uid="{63A06B24-DA51-4360-A49A-E46214C7FF85}"/>
    <cellStyle name="Normal 8 2 2 4 3 3" xfId="5678" xr:uid="{00000000-0005-0000-0000-0000751C0000}"/>
    <cellStyle name="Normal 8 2 2 4 3 3 2" xfId="14173" xr:uid="{A7BF79AE-8E5C-4B7A-A7BD-397C4D968F9B}"/>
    <cellStyle name="Normal 8 2 2 4 3 4" xfId="9960" xr:uid="{D5203A22-2F72-4BC9-8ED0-16FAF430021C}"/>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731" xr:uid="{36FBE092-91DB-4CF8-9914-46FF5C98527A}"/>
    <cellStyle name="Normal 8 2 2 4 4 2 3" xfId="12518" xr:uid="{AE12EAA9-8626-4EBF-8750-69EAD5DFA394}"/>
    <cellStyle name="Normal 8 2 2 4 4 3" xfId="6091" xr:uid="{00000000-0005-0000-0000-0000791C0000}"/>
    <cellStyle name="Normal 8 2 2 4 4 3 2" xfId="14586" xr:uid="{97C4CB2A-3260-4314-9BD5-579A7635DB0E}"/>
    <cellStyle name="Normal 8 2 2 4 4 4" xfId="10373" xr:uid="{51A099B4-55BB-4BB0-BFD7-73FA45075F21}"/>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144" xr:uid="{E026BA82-FE94-47CE-89CF-0D7D5FA53B0F}"/>
    <cellStyle name="Normal 8 2 2 4 5 2 3" xfId="12931" xr:uid="{373D0CC0-CDCE-4A38-B900-7F7121A0B305}"/>
    <cellStyle name="Normal 8 2 2 4 5 3" xfId="6504" xr:uid="{00000000-0005-0000-0000-00007D1C0000}"/>
    <cellStyle name="Normal 8 2 2 4 5 3 2" xfId="14999" xr:uid="{254BDAE6-0A48-40D5-B40A-ADF277A0FB86}"/>
    <cellStyle name="Normal 8 2 2 4 5 4" xfId="10786" xr:uid="{01822486-D832-42E8-BF61-68F533C2D714}"/>
    <cellStyle name="Normal 8 2 2 4 6" xfId="2634" xr:uid="{00000000-0005-0000-0000-00007E1C0000}"/>
    <cellStyle name="Normal 8 2 2 4 6 2" xfId="6917" xr:uid="{00000000-0005-0000-0000-00007F1C0000}"/>
    <cellStyle name="Normal 8 2 2 4 6 2 2" xfId="15412" xr:uid="{A9EC57A8-93D9-445F-A410-A0F4E898C7B6}"/>
    <cellStyle name="Normal 8 2 2 4 6 3" xfId="11199" xr:uid="{9D7D7292-5559-4A54-A48B-52A8460EB6B6}"/>
    <cellStyle name="Normal 8 2 2 4 7" xfId="4852" xr:uid="{00000000-0005-0000-0000-0000801C0000}"/>
    <cellStyle name="Normal 8 2 2 4 7 2" xfId="13347" xr:uid="{91DA3FB6-D0CD-4E88-A0C5-63C38BEF176F}"/>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2 2 2" xfId="15898" xr:uid="{89E12810-BCF5-405C-AF6C-D4E56BCE68F2}"/>
    <cellStyle name="Normal 8 2 2 5 2 3" xfId="11685" xr:uid="{CF2B111D-4F4D-400F-AE3A-02C48C18BFAA}"/>
    <cellStyle name="Normal 8 2 2 5 3" xfId="5258" xr:uid="{00000000-0005-0000-0000-0000841C0000}"/>
    <cellStyle name="Normal 8 2 2 5 3 2" xfId="13753" xr:uid="{13371838-55BF-483B-A34C-350CC42D191F}"/>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2 2 2" xfId="16311" xr:uid="{FE7CEC2A-D736-4550-B7E9-EE4F33905EDD}"/>
    <cellStyle name="Normal 8 2 2 6 2 3" xfId="12098" xr:uid="{5C40FE05-7D57-4468-84A6-B10C833AE162}"/>
    <cellStyle name="Normal 8 2 2 6 3" xfId="5671" xr:uid="{00000000-0005-0000-0000-0000881C0000}"/>
    <cellStyle name="Normal 8 2 2 6 3 2" xfId="14166" xr:uid="{263CA5C3-9649-44AC-98C2-2F975BD30A5B}"/>
    <cellStyle name="Normal 8 2 2 6 4" xfId="9953" xr:uid="{A55F9B75-A082-43D8-AB11-936A8680AD3C}"/>
    <cellStyle name="Normal 8 2 2 7" xfId="1777" xr:uid="{00000000-0005-0000-0000-0000891C0000}"/>
    <cellStyle name="Normal 8 2 2 7 2" xfId="4007" xr:uid="{00000000-0005-0000-0000-00008A1C0000}"/>
    <cellStyle name="Normal 8 2 2 7 2 2" xfId="8229" xr:uid="{00000000-0005-0000-0000-00008B1C0000}"/>
    <cellStyle name="Normal 8 2 2 7 2 2 2" xfId="16724" xr:uid="{A810FBFD-A8F9-45AB-964E-449055E3A831}"/>
    <cellStyle name="Normal 8 2 2 7 2 3" xfId="12511" xr:uid="{58A6A089-1239-4EC8-BD39-403E89D47324}"/>
    <cellStyle name="Normal 8 2 2 7 3" xfId="6084" xr:uid="{00000000-0005-0000-0000-00008C1C0000}"/>
    <cellStyle name="Normal 8 2 2 7 3 2" xfId="14579" xr:uid="{88924F9E-6592-4423-8D5B-F7B815A22151}"/>
    <cellStyle name="Normal 8 2 2 7 4" xfId="10366" xr:uid="{579A14DB-92D6-413A-AF88-1AF0DDC6E0A2}"/>
    <cellStyle name="Normal 8 2 2 8" xfId="2191" xr:uid="{00000000-0005-0000-0000-00008D1C0000}"/>
    <cellStyle name="Normal 8 2 2 8 2" xfId="4420" xr:uid="{00000000-0005-0000-0000-00008E1C0000}"/>
    <cellStyle name="Normal 8 2 2 8 2 2" xfId="8642" xr:uid="{00000000-0005-0000-0000-00008F1C0000}"/>
    <cellStyle name="Normal 8 2 2 8 2 2 2" xfId="17137" xr:uid="{276A61BD-5201-4313-A733-DABE49CCBC4A}"/>
    <cellStyle name="Normal 8 2 2 8 2 3" xfId="12924" xr:uid="{F70315A1-1507-4F9C-80D1-30FC835BBF4B}"/>
    <cellStyle name="Normal 8 2 2 8 3" xfId="6497" xr:uid="{00000000-0005-0000-0000-0000901C0000}"/>
    <cellStyle name="Normal 8 2 2 8 3 2" xfId="14992" xr:uid="{BB629FF7-A024-4235-A82A-AB289D4831BA}"/>
    <cellStyle name="Normal 8 2 2 8 4" xfId="10779" xr:uid="{3CB3427B-DA8E-48D9-8394-E75F195790CA}"/>
    <cellStyle name="Normal 8 2 2 9" xfId="2627" xr:uid="{00000000-0005-0000-0000-0000911C0000}"/>
    <cellStyle name="Normal 8 2 2 9 2" xfId="6910" xr:uid="{00000000-0005-0000-0000-0000921C0000}"/>
    <cellStyle name="Normal 8 2 2 9 2 2" xfId="15405" xr:uid="{432AEEAA-729E-4D1F-877D-B9B09CE84984}"/>
    <cellStyle name="Normal 8 2 2 9 3" xfId="11192" xr:uid="{C99540FB-FB69-442B-9BDF-704D39AE1119}"/>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908" xr:uid="{0000C8E4-DC5E-420D-9458-1379CF5196C5}"/>
    <cellStyle name="Normal 8 2 3 2 2 2 2 3" xfId="11695" xr:uid="{0333705E-477C-49C8-8B38-E164321EB590}"/>
    <cellStyle name="Normal 8 2 3 2 2 2 3" xfId="5268" xr:uid="{00000000-0005-0000-0000-0000991C0000}"/>
    <cellStyle name="Normal 8 2 3 2 2 2 3 2" xfId="13763" xr:uid="{1DC30934-A012-424A-9E05-3FBD2D68FF6E}"/>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321" xr:uid="{07829EE1-3C66-44F7-A5F7-8BC8AB72A891}"/>
    <cellStyle name="Normal 8 2 3 2 2 3 2 3" xfId="12108" xr:uid="{119C7162-87A7-4C27-A2DA-47C19CF5141D}"/>
    <cellStyle name="Normal 8 2 3 2 2 3 3" xfId="5681" xr:uid="{00000000-0005-0000-0000-00009D1C0000}"/>
    <cellStyle name="Normal 8 2 3 2 2 3 3 2" xfId="14176" xr:uid="{DD94807A-34C7-45A5-9F3E-FEB488C20931}"/>
    <cellStyle name="Normal 8 2 3 2 2 3 4" xfId="9963" xr:uid="{C1A29226-C773-4940-8268-9EFE4A8F759A}"/>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734" xr:uid="{6B3D8779-DE15-4B60-963F-B477D79F977D}"/>
    <cellStyle name="Normal 8 2 3 2 2 4 2 3" xfId="12521" xr:uid="{57A9623C-3FC5-44E9-9987-5BDF68FFA07D}"/>
    <cellStyle name="Normal 8 2 3 2 2 4 3" xfId="6094" xr:uid="{00000000-0005-0000-0000-0000A11C0000}"/>
    <cellStyle name="Normal 8 2 3 2 2 4 3 2" xfId="14589" xr:uid="{07763808-E877-4674-830A-596DF191AC8B}"/>
    <cellStyle name="Normal 8 2 3 2 2 4 4" xfId="10376" xr:uid="{0AA80215-F2DA-43FE-89BE-79718E47FB11}"/>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47" xr:uid="{29250D57-FB7B-4C72-957C-E98B5493465F}"/>
    <cellStyle name="Normal 8 2 3 2 2 5 2 3" xfId="12934" xr:uid="{E102E36F-61E5-4F43-9677-60CC73C44752}"/>
    <cellStyle name="Normal 8 2 3 2 2 5 3" xfId="6507" xr:uid="{00000000-0005-0000-0000-0000A51C0000}"/>
    <cellStyle name="Normal 8 2 3 2 2 5 3 2" xfId="15002" xr:uid="{17955462-ED37-4AED-BE13-67865AF8EDE9}"/>
    <cellStyle name="Normal 8 2 3 2 2 5 4" xfId="10789" xr:uid="{4252BF0A-DF24-418B-8402-025C7CBFC896}"/>
    <cellStyle name="Normal 8 2 3 2 2 6" xfId="2637" xr:uid="{00000000-0005-0000-0000-0000A61C0000}"/>
    <cellStyle name="Normal 8 2 3 2 2 6 2" xfId="6920" xr:uid="{00000000-0005-0000-0000-0000A71C0000}"/>
    <cellStyle name="Normal 8 2 3 2 2 6 2 2" xfId="15415" xr:uid="{B535DDAE-083D-4AED-9A3B-30B2D383476C}"/>
    <cellStyle name="Normal 8 2 3 2 2 6 3" xfId="11202" xr:uid="{E46C900F-8AC4-4C44-B2C8-6FFD08ACC94F}"/>
    <cellStyle name="Normal 8 2 3 2 2 7" xfId="4855" xr:uid="{00000000-0005-0000-0000-0000A81C0000}"/>
    <cellStyle name="Normal 8 2 3 2 2 7 2" xfId="13350" xr:uid="{B065599D-2C37-40AE-96E5-E957EE94CE65}"/>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907" xr:uid="{DFD56BCE-7D65-4082-AC3B-01EA3427185C}"/>
    <cellStyle name="Normal 8 2 3 2 3 2 3" xfId="11694" xr:uid="{093D0ADA-DBAB-4C9C-A459-4803A187CB28}"/>
    <cellStyle name="Normal 8 2 3 2 3 3" xfId="5267" xr:uid="{00000000-0005-0000-0000-0000AC1C0000}"/>
    <cellStyle name="Normal 8 2 3 2 3 3 2" xfId="13762" xr:uid="{F0156F13-1209-4B77-955D-622EA417FD19}"/>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320" xr:uid="{4AF41E9D-0837-43B0-A266-9CD99470B627}"/>
    <cellStyle name="Normal 8 2 3 2 4 2 3" xfId="12107" xr:uid="{C933BEF5-A587-4624-8A55-E193F1B8243C}"/>
    <cellStyle name="Normal 8 2 3 2 4 3" xfId="5680" xr:uid="{00000000-0005-0000-0000-0000B01C0000}"/>
    <cellStyle name="Normal 8 2 3 2 4 3 2" xfId="14175" xr:uid="{C5D8FEFB-A7B8-454A-91AA-738E171E6F9A}"/>
    <cellStyle name="Normal 8 2 3 2 4 4" xfId="9962" xr:uid="{ABCA5A5E-FAB8-4E84-9CA9-1B1E59AD6F5C}"/>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733" xr:uid="{0C074F3A-1B32-4211-9DC7-AD44A68ACBC9}"/>
    <cellStyle name="Normal 8 2 3 2 5 2 3" xfId="12520" xr:uid="{186F1E50-FB00-4E90-9CAF-4408524A4B94}"/>
    <cellStyle name="Normal 8 2 3 2 5 3" xfId="6093" xr:uid="{00000000-0005-0000-0000-0000B41C0000}"/>
    <cellStyle name="Normal 8 2 3 2 5 3 2" xfId="14588" xr:uid="{853ABB79-851F-4DC3-A622-BA5046E3EFFB}"/>
    <cellStyle name="Normal 8 2 3 2 5 4" xfId="10375" xr:uid="{A98B876C-D2B4-4F6B-A950-5627B8F58FB9}"/>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46" xr:uid="{DACDAAB5-F8C2-48BE-B8B5-FD6BCE2A956C}"/>
    <cellStyle name="Normal 8 2 3 2 6 2 3" xfId="12933" xr:uid="{4DCE5EF9-F2E4-460D-9954-B24C6622B4BD}"/>
    <cellStyle name="Normal 8 2 3 2 6 3" xfId="6506" xr:uid="{00000000-0005-0000-0000-0000B81C0000}"/>
    <cellStyle name="Normal 8 2 3 2 6 3 2" xfId="15001" xr:uid="{3DE46DC0-E482-49D3-AEB5-8EB65A763689}"/>
    <cellStyle name="Normal 8 2 3 2 6 4" xfId="10788" xr:uid="{9C786EBB-83AE-45A7-B754-723D5D262D23}"/>
    <cellStyle name="Normal 8 2 3 2 7" xfId="2636" xr:uid="{00000000-0005-0000-0000-0000B91C0000}"/>
    <cellStyle name="Normal 8 2 3 2 7 2" xfId="6919" xr:uid="{00000000-0005-0000-0000-0000BA1C0000}"/>
    <cellStyle name="Normal 8 2 3 2 7 2 2" xfId="15414" xr:uid="{C0F8A89D-880A-4E9F-99E5-4054E388F806}"/>
    <cellStyle name="Normal 8 2 3 2 7 3" xfId="11201" xr:uid="{E36D50A4-80B9-4063-8E6B-795C2377FA8A}"/>
    <cellStyle name="Normal 8 2 3 2 8" xfId="4854" xr:uid="{00000000-0005-0000-0000-0000BB1C0000}"/>
    <cellStyle name="Normal 8 2 3 2 8 2" xfId="13349" xr:uid="{2E12CD0D-35AE-4E97-9624-3B9107E852B8}"/>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909" xr:uid="{D1C29341-EE02-4C77-8692-3F7AE418A761}"/>
    <cellStyle name="Normal 8 2 3 3 2 2 3" xfId="11696" xr:uid="{175B265A-0853-4E69-86EC-7D863716C1C5}"/>
    <cellStyle name="Normal 8 2 3 3 2 3" xfId="5269" xr:uid="{00000000-0005-0000-0000-0000C01C0000}"/>
    <cellStyle name="Normal 8 2 3 3 2 3 2" xfId="13764" xr:uid="{2C287BFC-3F34-4F00-86BA-F3F707BAD142}"/>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322" xr:uid="{483B2BA6-8B92-42F5-B637-ADC0F678AAFC}"/>
    <cellStyle name="Normal 8 2 3 3 3 2 3" xfId="12109" xr:uid="{AEBE582A-97EE-43AA-AC94-EC9AE54B592C}"/>
    <cellStyle name="Normal 8 2 3 3 3 3" xfId="5682" xr:uid="{00000000-0005-0000-0000-0000C41C0000}"/>
    <cellStyle name="Normal 8 2 3 3 3 3 2" xfId="14177" xr:uid="{57C0B681-7BAE-4B26-9F60-EB9119771A7A}"/>
    <cellStyle name="Normal 8 2 3 3 3 4" xfId="9964" xr:uid="{3D60AA24-5619-4F47-A3E8-8D50212441A8}"/>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735" xr:uid="{F441271E-C7AD-4003-9207-666022EE6AFA}"/>
    <cellStyle name="Normal 8 2 3 3 4 2 3" xfId="12522" xr:uid="{A58B38CF-99FC-4205-968A-CFD52F75BC6B}"/>
    <cellStyle name="Normal 8 2 3 3 4 3" xfId="6095" xr:uid="{00000000-0005-0000-0000-0000C81C0000}"/>
    <cellStyle name="Normal 8 2 3 3 4 3 2" xfId="14590" xr:uid="{C0B518F3-82D5-48EA-AB23-B723485D54B5}"/>
    <cellStyle name="Normal 8 2 3 3 4 4" xfId="10377" xr:uid="{AFF63AD7-1712-4583-9452-754768A46560}"/>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48" xr:uid="{D88B67FB-3516-44B4-B05D-3570ED002B15}"/>
    <cellStyle name="Normal 8 2 3 3 5 2 3" xfId="12935" xr:uid="{9DAB4541-1D95-496A-92ED-D40ED7F25942}"/>
    <cellStyle name="Normal 8 2 3 3 5 3" xfId="6508" xr:uid="{00000000-0005-0000-0000-0000CC1C0000}"/>
    <cellStyle name="Normal 8 2 3 3 5 3 2" xfId="15003" xr:uid="{634FD596-1ED6-4F1B-910D-8182033C8D96}"/>
    <cellStyle name="Normal 8 2 3 3 5 4" xfId="10790" xr:uid="{45D6F8E5-512E-4C7C-8663-FF8DC35322E9}"/>
    <cellStyle name="Normal 8 2 3 3 6" xfId="2638" xr:uid="{00000000-0005-0000-0000-0000CD1C0000}"/>
    <cellStyle name="Normal 8 2 3 3 6 2" xfId="6921" xr:uid="{00000000-0005-0000-0000-0000CE1C0000}"/>
    <cellStyle name="Normal 8 2 3 3 6 2 2" xfId="15416" xr:uid="{1CB0DDB0-2140-459F-A83B-2ACF86FCC136}"/>
    <cellStyle name="Normal 8 2 3 3 6 3" xfId="11203" xr:uid="{536744FA-DB69-4A8A-A4EA-25C276D1229A}"/>
    <cellStyle name="Normal 8 2 3 3 7" xfId="4856" xr:uid="{00000000-0005-0000-0000-0000CF1C0000}"/>
    <cellStyle name="Normal 8 2 3 3 7 2" xfId="13351" xr:uid="{D345E143-176B-4078-81AD-B2F6E471C55F}"/>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2 2 2" xfId="15906" xr:uid="{BF853AAC-BDDE-4F60-A51B-AEA77B6739D2}"/>
    <cellStyle name="Normal 8 2 3 4 2 3" xfId="11693" xr:uid="{1C940783-1940-446A-ADD8-44EA3AD75EBF}"/>
    <cellStyle name="Normal 8 2 3 4 3" xfId="5266" xr:uid="{00000000-0005-0000-0000-0000D31C0000}"/>
    <cellStyle name="Normal 8 2 3 4 3 2" xfId="13761" xr:uid="{66C4E907-DFC3-436C-AAFB-834C83CF8EE7}"/>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2 2 2" xfId="16319" xr:uid="{C2797B1C-F3D0-4E55-B32E-AC570FA267A9}"/>
    <cellStyle name="Normal 8 2 3 5 2 3" xfId="12106" xr:uid="{79865E0F-DC6E-4678-9928-03AB53972081}"/>
    <cellStyle name="Normal 8 2 3 5 3" xfId="5679" xr:uid="{00000000-0005-0000-0000-0000D71C0000}"/>
    <cellStyle name="Normal 8 2 3 5 3 2" xfId="14174" xr:uid="{6A84F724-D78E-4F23-9C3C-287DAD93C49D}"/>
    <cellStyle name="Normal 8 2 3 5 4" xfId="9961" xr:uid="{1FB77307-DD4A-446A-8EB1-C4D65DAF3E87}"/>
    <cellStyle name="Normal 8 2 3 6" xfId="1785" xr:uid="{00000000-0005-0000-0000-0000D81C0000}"/>
    <cellStyle name="Normal 8 2 3 6 2" xfId="4015" xr:uid="{00000000-0005-0000-0000-0000D91C0000}"/>
    <cellStyle name="Normal 8 2 3 6 2 2" xfId="8237" xr:uid="{00000000-0005-0000-0000-0000DA1C0000}"/>
    <cellStyle name="Normal 8 2 3 6 2 2 2" xfId="16732" xr:uid="{0C8E681F-97EA-4A95-8848-6F040FCF6C68}"/>
    <cellStyle name="Normal 8 2 3 6 2 3" xfId="12519" xr:uid="{C65B18F0-6629-4D41-9231-CB393D864F37}"/>
    <cellStyle name="Normal 8 2 3 6 3" xfId="6092" xr:uid="{00000000-0005-0000-0000-0000DB1C0000}"/>
    <cellStyle name="Normal 8 2 3 6 3 2" xfId="14587" xr:uid="{DEA258F9-EA2E-419C-A3ED-8E102A3F0335}"/>
    <cellStyle name="Normal 8 2 3 6 4" xfId="10374" xr:uid="{5701CF36-4D31-45E3-92C7-6D623FAD9998}"/>
    <cellStyle name="Normal 8 2 3 7" xfId="2199" xr:uid="{00000000-0005-0000-0000-0000DC1C0000}"/>
    <cellStyle name="Normal 8 2 3 7 2" xfId="4428" xr:uid="{00000000-0005-0000-0000-0000DD1C0000}"/>
    <cellStyle name="Normal 8 2 3 7 2 2" xfId="8650" xr:uid="{00000000-0005-0000-0000-0000DE1C0000}"/>
    <cellStyle name="Normal 8 2 3 7 2 2 2" xfId="17145" xr:uid="{3D846181-CDB9-4C8E-8F08-8251AD934A34}"/>
    <cellStyle name="Normal 8 2 3 7 2 3" xfId="12932" xr:uid="{8CF9DD5E-416A-40DC-9F6E-23C43E235F18}"/>
    <cellStyle name="Normal 8 2 3 7 3" xfId="6505" xr:uid="{00000000-0005-0000-0000-0000DF1C0000}"/>
    <cellStyle name="Normal 8 2 3 7 3 2" xfId="15000" xr:uid="{DE352F31-65A0-4213-9D42-5CAF36488DFE}"/>
    <cellStyle name="Normal 8 2 3 7 4" xfId="10787" xr:uid="{01E4FF76-E707-4B6A-828C-5DEEA294D580}"/>
    <cellStyle name="Normal 8 2 3 8" xfId="2635" xr:uid="{00000000-0005-0000-0000-0000E01C0000}"/>
    <cellStyle name="Normal 8 2 3 8 2" xfId="6918" xr:uid="{00000000-0005-0000-0000-0000E11C0000}"/>
    <cellStyle name="Normal 8 2 3 8 2 2" xfId="15413" xr:uid="{31488E72-F05B-4FC3-8BA4-D80C81B8B653}"/>
    <cellStyle name="Normal 8 2 3 8 3" xfId="11200" xr:uid="{F9F41175-618D-4037-8B90-319F5E81809F}"/>
    <cellStyle name="Normal 8 2 3 9" xfId="4853" xr:uid="{00000000-0005-0000-0000-0000E21C0000}"/>
    <cellStyle name="Normal 8 2 3 9 2" xfId="13348" xr:uid="{D8786220-AFEC-41EB-B969-2A4D7F838D01}"/>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911" xr:uid="{249A2776-9E1B-47BA-9137-DA5539DCF331}"/>
    <cellStyle name="Normal 8 2 4 2 2 2 3" xfId="11698" xr:uid="{F32F9F8A-DBCB-47BA-85EA-D768A95EFA50}"/>
    <cellStyle name="Normal 8 2 4 2 2 3" xfId="5271" xr:uid="{00000000-0005-0000-0000-0000E81C0000}"/>
    <cellStyle name="Normal 8 2 4 2 2 3 2" xfId="13766" xr:uid="{82A2B8BF-46F6-4F12-82B7-26AC2E8EDD46}"/>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324" xr:uid="{775B7E0D-E897-487F-8C35-B1F309E08FB9}"/>
    <cellStyle name="Normal 8 2 4 2 3 2 3" xfId="12111" xr:uid="{800F7E48-A7D5-4E3D-A58C-B34970549651}"/>
    <cellStyle name="Normal 8 2 4 2 3 3" xfId="5684" xr:uid="{00000000-0005-0000-0000-0000EC1C0000}"/>
    <cellStyle name="Normal 8 2 4 2 3 3 2" xfId="14179" xr:uid="{8353A7D3-29A2-45D3-91AA-A60A63F1AA80}"/>
    <cellStyle name="Normal 8 2 4 2 3 4" xfId="9966" xr:uid="{8836DF0C-5CC3-4DA0-AF8E-54E703D0CBC8}"/>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737" xr:uid="{F14C2372-CC2E-422E-B972-1625C3A8564C}"/>
    <cellStyle name="Normal 8 2 4 2 4 2 3" xfId="12524" xr:uid="{FC2EBA49-BD0E-4805-8596-FA674ACC2DAC}"/>
    <cellStyle name="Normal 8 2 4 2 4 3" xfId="6097" xr:uid="{00000000-0005-0000-0000-0000F01C0000}"/>
    <cellStyle name="Normal 8 2 4 2 4 3 2" xfId="14592" xr:uid="{B834DC1F-B553-4BAD-973A-4971E52F89C3}"/>
    <cellStyle name="Normal 8 2 4 2 4 4" xfId="10379" xr:uid="{40857330-5169-4AA9-B164-FDD09804D13E}"/>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50" xr:uid="{5DA0F21B-37BA-4819-8F2C-BEB1360B1882}"/>
    <cellStyle name="Normal 8 2 4 2 5 2 3" xfId="12937" xr:uid="{B8A268F2-9A30-4773-AF0C-38D57B952999}"/>
    <cellStyle name="Normal 8 2 4 2 5 3" xfId="6510" xr:uid="{00000000-0005-0000-0000-0000F41C0000}"/>
    <cellStyle name="Normal 8 2 4 2 5 3 2" xfId="15005" xr:uid="{6C4A8E3B-326E-4CB7-A614-C7BE1BAE78AB}"/>
    <cellStyle name="Normal 8 2 4 2 5 4" xfId="10792" xr:uid="{73A19C91-A654-4353-8FA1-3B7E7E40BA9B}"/>
    <cellStyle name="Normal 8 2 4 2 6" xfId="2640" xr:uid="{00000000-0005-0000-0000-0000F51C0000}"/>
    <cellStyle name="Normal 8 2 4 2 6 2" xfId="6923" xr:uid="{00000000-0005-0000-0000-0000F61C0000}"/>
    <cellStyle name="Normal 8 2 4 2 6 2 2" xfId="15418" xr:uid="{9FEF7215-4703-42C6-B25A-7D618C37E3F9}"/>
    <cellStyle name="Normal 8 2 4 2 6 3" xfId="11205" xr:uid="{5F0ED77C-E9CF-4C8F-A98F-BA5F7D8D671E}"/>
    <cellStyle name="Normal 8 2 4 2 7" xfId="4858" xr:uid="{00000000-0005-0000-0000-0000F71C0000}"/>
    <cellStyle name="Normal 8 2 4 2 7 2" xfId="13353" xr:uid="{DD3190F8-C3E8-4030-9F9D-FBCDE128BD84}"/>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2 2 2" xfId="15910" xr:uid="{AC5C3CB1-ABA7-4196-8A2D-C644472A477D}"/>
    <cellStyle name="Normal 8 2 4 3 2 3" xfId="11697" xr:uid="{553AF5CF-4B68-4D2C-995B-73576F971356}"/>
    <cellStyle name="Normal 8 2 4 3 3" xfId="5270" xr:uid="{00000000-0005-0000-0000-0000FB1C0000}"/>
    <cellStyle name="Normal 8 2 4 3 3 2" xfId="13765" xr:uid="{FDB58003-7DBD-4E23-8653-02CDFF58C969}"/>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2 2 2" xfId="16323" xr:uid="{89739672-5716-4496-9B25-354F4A0A65D8}"/>
    <cellStyle name="Normal 8 2 4 4 2 3" xfId="12110" xr:uid="{DDA13FD6-ADCB-4267-B7E6-A1983B1A73E3}"/>
    <cellStyle name="Normal 8 2 4 4 3" xfId="5683" xr:uid="{00000000-0005-0000-0000-0000FF1C0000}"/>
    <cellStyle name="Normal 8 2 4 4 3 2" xfId="14178" xr:uid="{C0BE099A-7DB2-4814-B719-95B1CD7FEB5C}"/>
    <cellStyle name="Normal 8 2 4 4 4" xfId="9965" xr:uid="{CABBF6E9-0512-4647-951D-D110E40346AB}"/>
    <cellStyle name="Normal 8 2 4 5" xfId="1789" xr:uid="{00000000-0005-0000-0000-0000001D0000}"/>
    <cellStyle name="Normal 8 2 4 5 2" xfId="4019" xr:uid="{00000000-0005-0000-0000-0000011D0000}"/>
    <cellStyle name="Normal 8 2 4 5 2 2" xfId="8241" xr:uid="{00000000-0005-0000-0000-0000021D0000}"/>
    <cellStyle name="Normal 8 2 4 5 2 2 2" xfId="16736" xr:uid="{0787C676-9667-4AD0-A355-8F76E9DBC3F5}"/>
    <cellStyle name="Normal 8 2 4 5 2 3" xfId="12523" xr:uid="{0266CE2F-782E-4499-B32D-AACD1154F727}"/>
    <cellStyle name="Normal 8 2 4 5 3" xfId="6096" xr:uid="{00000000-0005-0000-0000-0000031D0000}"/>
    <cellStyle name="Normal 8 2 4 5 3 2" xfId="14591" xr:uid="{05DE61E5-5B4C-4916-96F7-00BC1F97D1B0}"/>
    <cellStyle name="Normal 8 2 4 5 4" xfId="10378" xr:uid="{90500FC2-3DC7-4CA7-9C5A-DAAE7644B696}"/>
    <cellStyle name="Normal 8 2 4 6" xfId="2203" xr:uid="{00000000-0005-0000-0000-0000041D0000}"/>
    <cellStyle name="Normal 8 2 4 6 2" xfId="4432" xr:uid="{00000000-0005-0000-0000-0000051D0000}"/>
    <cellStyle name="Normal 8 2 4 6 2 2" xfId="8654" xr:uid="{00000000-0005-0000-0000-0000061D0000}"/>
    <cellStyle name="Normal 8 2 4 6 2 2 2" xfId="17149" xr:uid="{81FFA49B-55C8-449A-B073-30C346A0D6D0}"/>
    <cellStyle name="Normal 8 2 4 6 2 3" xfId="12936" xr:uid="{14935108-4292-48DC-8837-35BBAF31877A}"/>
    <cellStyle name="Normal 8 2 4 6 3" xfId="6509" xr:uid="{00000000-0005-0000-0000-0000071D0000}"/>
    <cellStyle name="Normal 8 2 4 6 3 2" xfId="15004" xr:uid="{DDF9E35A-341C-4D60-BC66-B300ADFA0301}"/>
    <cellStyle name="Normal 8 2 4 6 4" xfId="10791" xr:uid="{8C30B186-669B-4077-8312-C4A057FDDB7E}"/>
    <cellStyle name="Normal 8 2 4 7" xfId="2639" xr:uid="{00000000-0005-0000-0000-0000081D0000}"/>
    <cellStyle name="Normal 8 2 4 7 2" xfId="6922" xr:uid="{00000000-0005-0000-0000-0000091D0000}"/>
    <cellStyle name="Normal 8 2 4 7 2 2" xfId="15417" xr:uid="{0752EA0A-F932-4DF6-9AE2-745510733AF9}"/>
    <cellStyle name="Normal 8 2 4 7 3" xfId="11204" xr:uid="{5129D1BB-AEF1-46B7-BE1F-F83B761165C5}"/>
    <cellStyle name="Normal 8 2 4 8" xfId="4857" xr:uid="{00000000-0005-0000-0000-00000A1D0000}"/>
    <cellStyle name="Normal 8 2 4 8 2" xfId="13352" xr:uid="{FC4E1593-9224-40D3-8C45-0B7BE19B93B7}"/>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912" xr:uid="{CA74DD26-836D-4496-BAD8-8BEA81F165F3}"/>
    <cellStyle name="Normal 8 2 5 2 2 3" xfId="11699" xr:uid="{3C0A48A4-036C-4FC4-AFC4-281006A2A83F}"/>
    <cellStyle name="Normal 8 2 5 2 3" xfId="5272" xr:uid="{00000000-0005-0000-0000-00000F1D0000}"/>
    <cellStyle name="Normal 8 2 5 2 3 2" xfId="13767" xr:uid="{5D4F9095-7091-4A4F-A67D-C269B2DD6C12}"/>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2 2 2" xfId="16325" xr:uid="{8EBF4705-D497-42A5-BA5D-E1E0B8B70302}"/>
    <cellStyle name="Normal 8 2 5 3 2 3" xfId="12112" xr:uid="{14D367C3-5D70-4FD6-8EEB-CB9E3234B25D}"/>
    <cellStyle name="Normal 8 2 5 3 3" xfId="5685" xr:uid="{00000000-0005-0000-0000-0000131D0000}"/>
    <cellStyle name="Normal 8 2 5 3 3 2" xfId="14180" xr:uid="{C922F761-44F9-4B8F-BFF4-2657BF668F85}"/>
    <cellStyle name="Normal 8 2 5 3 4" xfId="9967" xr:uid="{C9661EB1-2B2A-4DD8-90E2-F5A43F3D97CF}"/>
    <cellStyle name="Normal 8 2 5 4" xfId="1791" xr:uid="{00000000-0005-0000-0000-0000141D0000}"/>
    <cellStyle name="Normal 8 2 5 4 2" xfId="4021" xr:uid="{00000000-0005-0000-0000-0000151D0000}"/>
    <cellStyle name="Normal 8 2 5 4 2 2" xfId="8243" xr:uid="{00000000-0005-0000-0000-0000161D0000}"/>
    <cellStyle name="Normal 8 2 5 4 2 2 2" xfId="16738" xr:uid="{B00ED871-872C-49F5-84A9-8CDB9972AD56}"/>
    <cellStyle name="Normal 8 2 5 4 2 3" xfId="12525" xr:uid="{F8D78FFD-401E-4259-9280-FE03AC206EE0}"/>
    <cellStyle name="Normal 8 2 5 4 3" xfId="6098" xr:uid="{00000000-0005-0000-0000-0000171D0000}"/>
    <cellStyle name="Normal 8 2 5 4 3 2" xfId="14593" xr:uid="{4B39FA4B-252C-4524-AA14-1919FAC4AE0E}"/>
    <cellStyle name="Normal 8 2 5 4 4" xfId="10380" xr:uid="{1F79020F-11C6-4861-88AB-62DCF789ACB3}"/>
    <cellStyle name="Normal 8 2 5 5" xfId="2205" xr:uid="{00000000-0005-0000-0000-0000181D0000}"/>
    <cellStyle name="Normal 8 2 5 5 2" xfId="4434" xr:uid="{00000000-0005-0000-0000-0000191D0000}"/>
    <cellStyle name="Normal 8 2 5 5 2 2" xfId="8656" xr:uid="{00000000-0005-0000-0000-00001A1D0000}"/>
    <cellStyle name="Normal 8 2 5 5 2 2 2" xfId="17151" xr:uid="{822A045D-561F-42B6-9A53-ED2208C41598}"/>
    <cellStyle name="Normal 8 2 5 5 2 3" xfId="12938" xr:uid="{6090BCD6-CE48-4CEA-B658-365776466F3C}"/>
    <cellStyle name="Normal 8 2 5 5 3" xfId="6511" xr:uid="{00000000-0005-0000-0000-00001B1D0000}"/>
    <cellStyle name="Normal 8 2 5 5 3 2" xfId="15006" xr:uid="{DA080195-C2D6-426C-9751-AF17BDD1D92D}"/>
    <cellStyle name="Normal 8 2 5 5 4" xfId="10793" xr:uid="{C6ED744E-EC3D-42F2-BAE0-0FE261ED08F4}"/>
    <cellStyle name="Normal 8 2 5 6" xfId="2641" xr:uid="{00000000-0005-0000-0000-00001C1D0000}"/>
    <cellStyle name="Normal 8 2 5 6 2" xfId="6924" xr:uid="{00000000-0005-0000-0000-00001D1D0000}"/>
    <cellStyle name="Normal 8 2 5 6 2 2" xfId="15419" xr:uid="{7796DAED-5198-43ED-85B3-CD633309FBEC}"/>
    <cellStyle name="Normal 8 2 5 6 3" xfId="11206" xr:uid="{5E17C082-C905-4A31-83D8-10F8B70D73F6}"/>
    <cellStyle name="Normal 8 2 5 7" xfId="4859" xr:uid="{00000000-0005-0000-0000-00001E1D0000}"/>
    <cellStyle name="Normal 8 2 5 7 2" xfId="13354" xr:uid="{CC682E4A-C52A-4D32-86E1-4C3CFD014C4C}"/>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2 2 2" xfId="15897" xr:uid="{61659D11-F486-4851-B272-B74059AA9F6F}"/>
    <cellStyle name="Normal 8 2 6 2 3" xfId="11684" xr:uid="{70DB9460-5425-4266-ABB4-F38000294CD3}"/>
    <cellStyle name="Normal 8 2 6 3" xfId="5257" xr:uid="{00000000-0005-0000-0000-0000221D0000}"/>
    <cellStyle name="Normal 8 2 6 3 2" xfId="13752" xr:uid="{4CA3528B-B3DA-4BED-88DC-F1EC8225D11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2 2 2" xfId="16310" xr:uid="{EE189B4F-68E3-4EEE-B203-BE0D019469C3}"/>
    <cellStyle name="Normal 8 2 7 2 3" xfId="12097" xr:uid="{98A50449-2475-412D-8D77-1A5CB6C800E2}"/>
    <cellStyle name="Normal 8 2 7 3" xfId="5670" xr:uid="{00000000-0005-0000-0000-0000261D0000}"/>
    <cellStyle name="Normal 8 2 7 3 2" xfId="14165" xr:uid="{2030D187-02B9-4B8F-9A22-211BC93AC74F}"/>
    <cellStyle name="Normal 8 2 7 4" xfId="9952" xr:uid="{206541BF-D1BF-4C24-B3B2-1FFA8AF036BD}"/>
    <cellStyle name="Normal 8 2 8" xfId="1776" xr:uid="{00000000-0005-0000-0000-0000271D0000}"/>
    <cellStyle name="Normal 8 2 8 2" xfId="4006" xr:uid="{00000000-0005-0000-0000-0000281D0000}"/>
    <cellStyle name="Normal 8 2 8 2 2" xfId="8228" xr:uid="{00000000-0005-0000-0000-0000291D0000}"/>
    <cellStyle name="Normal 8 2 8 2 2 2" xfId="16723" xr:uid="{784EEF11-87BF-4CEE-BAD5-9EC02560C030}"/>
    <cellStyle name="Normal 8 2 8 2 3" xfId="12510" xr:uid="{F3B3DCCE-04EF-420A-95C6-0FCE0E873556}"/>
    <cellStyle name="Normal 8 2 8 3" xfId="6083" xr:uid="{00000000-0005-0000-0000-00002A1D0000}"/>
    <cellStyle name="Normal 8 2 8 3 2" xfId="14578" xr:uid="{27B656CA-39F9-40B0-A4D6-4605B135F05F}"/>
    <cellStyle name="Normal 8 2 8 4" xfId="10365" xr:uid="{C2356961-9F7A-4C2F-ADFA-EB8A356A65AF}"/>
    <cellStyle name="Normal 8 2 9" xfId="2190" xr:uid="{00000000-0005-0000-0000-00002B1D0000}"/>
    <cellStyle name="Normal 8 2 9 2" xfId="4419" xr:uid="{00000000-0005-0000-0000-00002C1D0000}"/>
    <cellStyle name="Normal 8 2 9 2 2" xfId="8641" xr:uid="{00000000-0005-0000-0000-00002D1D0000}"/>
    <cellStyle name="Normal 8 2 9 2 2 2" xfId="17136" xr:uid="{540637AF-C396-4B39-AAD7-EBFDEDCA8EB0}"/>
    <cellStyle name="Normal 8 2 9 2 3" xfId="12923" xr:uid="{1977B86F-5A08-4BF3-8051-D4E6D895D38D}"/>
    <cellStyle name="Normal 8 2 9 3" xfId="6496" xr:uid="{00000000-0005-0000-0000-00002E1D0000}"/>
    <cellStyle name="Normal 8 2 9 3 2" xfId="14991" xr:uid="{2900C55E-E997-4207-BCF9-96CD0112D241}"/>
    <cellStyle name="Normal 8 2 9 4" xfId="10778" xr:uid="{10E58945-63DE-4676-BAA5-0A50724E30BF}"/>
    <cellStyle name="Normal 8 3" xfId="495" xr:uid="{00000000-0005-0000-0000-00002F1D0000}"/>
    <cellStyle name="Normal 8 3 10" xfId="4860" xr:uid="{00000000-0005-0000-0000-0000301D0000}"/>
    <cellStyle name="Normal 8 3 10 2" xfId="13355" xr:uid="{C3C0C15A-6013-4A7C-A260-8D60259DEA5B}"/>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916" xr:uid="{3C7E3CD7-40E4-4D3B-B9FC-6D6D5A21E38F}"/>
    <cellStyle name="Normal 8 3 2 2 2 2 2 3" xfId="11703" xr:uid="{D34D0EEC-79CC-4F59-B8C7-3EA9BB27B9D8}"/>
    <cellStyle name="Normal 8 3 2 2 2 2 3" xfId="5276" xr:uid="{00000000-0005-0000-0000-0000371D0000}"/>
    <cellStyle name="Normal 8 3 2 2 2 2 3 2" xfId="13771" xr:uid="{108970B8-01BD-4D5B-AA68-18449BEDB9E3}"/>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329" xr:uid="{82076D13-D17A-4F6C-AD10-AD63FA08FEC7}"/>
    <cellStyle name="Normal 8 3 2 2 2 3 2 3" xfId="12116" xr:uid="{91E7B86E-54CB-40C9-88BA-4805FB13544C}"/>
    <cellStyle name="Normal 8 3 2 2 2 3 3" xfId="5689" xr:uid="{00000000-0005-0000-0000-00003B1D0000}"/>
    <cellStyle name="Normal 8 3 2 2 2 3 3 2" xfId="14184" xr:uid="{6D9F9D14-CBCE-4C45-A495-08B55A73D18E}"/>
    <cellStyle name="Normal 8 3 2 2 2 3 4" xfId="9971" xr:uid="{8829A40A-0CE3-4E0B-9156-D7A882FBBD4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742" xr:uid="{9607297B-D097-45C6-B2D4-777CD88C8679}"/>
    <cellStyle name="Normal 8 3 2 2 2 4 2 3" xfId="12529" xr:uid="{2E8278E8-AACE-40F6-A90E-0789FA4B8F3D}"/>
    <cellStyle name="Normal 8 3 2 2 2 4 3" xfId="6102" xr:uid="{00000000-0005-0000-0000-00003F1D0000}"/>
    <cellStyle name="Normal 8 3 2 2 2 4 3 2" xfId="14597" xr:uid="{D59B486C-AB4A-4FBC-9964-DD58944AA4C6}"/>
    <cellStyle name="Normal 8 3 2 2 2 4 4" xfId="10384" xr:uid="{90C00047-89B4-49CC-A28B-C62FF5EE4AB7}"/>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55" xr:uid="{BC14B362-CC59-43BD-80FA-B99A6EB1E8D1}"/>
    <cellStyle name="Normal 8 3 2 2 2 5 2 3" xfId="12942" xr:uid="{4C9410EE-4E15-46FE-8EFA-9CD15BE73B22}"/>
    <cellStyle name="Normal 8 3 2 2 2 5 3" xfId="6515" xr:uid="{00000000-0005-0000-0000-0000431D0000}"/>
    <cellStyle name="Normal 8 3 2 2 2 5 3 2" xfId="15010" xr:uid="{F7E8D04A-3BB5-4572-AE92-0893908B1924}"/>
    <cellStyle name="Normal 8 3 2 2 2 5 4" xfId="10797" xr:uid="{7A6F81BC-72EC-4002-8DB6-E8CDDF0B028B}"/>
    <cellStyle name="Normal 8 3 2 2 2 6" xfId="2645" xr:uid="{00000000-0005-0000-0000-0000441D0000}"/>
    <cellStyle name="Normal 8 3 2 2 2 6 2" xfId="6928" xr:uid="{00000000-0005-0000-0000-0000451D0000}"/>
    <cellStyle name="Normal 8 3 2 2 2 6 2 2" xfId="15423" xr:uid="{FCA2BC08-BA40-4413-A8C6-7F09C67860B9}"/>
    <cellStyle name="Normal 8 3 2 2 2 6 3" xfId="11210" xr:uid="{08256C7A-E246-427E-8C89-7EFA162197CC}"/>
    <cellStyle name="Normal 8 3 2 2 2 7" xfId="4863" xr:uid="{00000000-0005-0000-0000-0000461D0000}"/>
    <cellStyle name="Normal 8 3 2 2 2 7 2" xfId="13358" xr:uid="{D849B535-900A-4802-8B3B-97C8473DE2C6}"/>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915" xr:uid="{A9FF8C9E-7B37-49F4-802E-6077BAB20DF0}"/>
    <cellStyle name="Normal 8 3 2 2 3 2 3" xfId="11702" xr:uid="{0B8AE0CC-EEDC-4A88-9E68-FF12C22A5573}"/>
    <cellStyle name="Normal 8 3 2 2 3 3" xfId="5275" xr:uid="{00000000-0005-0000-0000-00004A1D0000}"/>
    <cellStyle name="Normal 8 3 2 2 3 3 2" xfId="13770" xr:uid="{5CFEB291-A51D-41CD-B863-E5EF19A2F5C2}"/>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328" xr:uid="{9706D086-C82B-4D02-8239-E2E523322A3F}"/>
    <cellStyle name="Normal 8 3 2 2 4 2 3" xfId="12115" xr:uid="{46DBE0C2-6D2D-43DF-9770-4F79AF487091}"/>
    <cellStyle name="Normal 8 3 2 2 4 3" xfId="5688" xr:uid="{00000000-0005-0000-0000-00004E1D0000}"/>
    <cellStyle name="Normal 8 3 2 2 4 3 2" xfId="14183" xr:uid="{0B609C7A-5B1A-480E-8EDE-24D007CCA2A3}"/>
    <cellStyle name="Normal 8 3 2 2 4 4" xfId="9970" xr:uid="{FD55857C-8D8D-4B7E-9587-AEADC870376C}"/>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741" xr:uid="{E81F5B9A-D89B-4EE9-8891-9322D7DAF552}"/>
    <cellStyle name="Normal 8 3 2 2 5 2 3" xfId="12528" xr:uid="{53BB3167-1F1D-490C-9070-8CFB2B32402D}"/>
    <cellStyle name="Normal 8 3 2 2 5 3" xfId="6101" xr:uid="{00000000-0005-0000-0000-0000521D0000}"/>
    <cellStyle name="Normal 8 3 2 2 5 3 2" xfId="14596" xr:uid="{636A8F48-7B47-40E4-B803-E99A3C5516F6}"/>
    <cellStyle name="Normal 8 3 2 2 5 4" xfId="10383" xr:uid="{72A1D02D-E569-4B6A-996F-463CBC10AE2B}"/>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54" xr:uid="{62D04045-9B0C-466C-8697-F870043334D3}"/>
    <cellStyle name="Normal 8 3 2 2 6 2 3" xfId="12941" xr:uid="{2774ADF0-2AB0-461D-A783-F541F2D4D90F}"/>
    <cellStyle name="Normal 8 3 2 2 6 3" xfId="6514" xr:uid="{00000000-0005-0000-0000-0000561D0000}"/>
    <cellStyle name="Normal 8 3 2 2 6 3 2" xfId="15009" xr:uid="{14490281-EB18-4AD0-B7D7-72C40BA7F12F}"/>
    <cellStyle name="Normal 8 3 2 2 6 4" xfId="10796" xr:uid="{9AA9383C-6913-40EC-AABE-00B46F09CFE0}"/>
    <cellStyle name="Normal 8 3 2 2 7" xfId="2644" xr:uid="{00000000-0005-0000-0000-0000571D0000}"/>
    <cellStyle name="Normal 8 3 2 2 7 2" xfId="6927" xr:uid="{00000000-0005-0000-0000-0000581D0000}"/>
    <cellStyle name="Normal 8 3 2 2 7 2 2" xfId="15422" xr:uid="{35D9256D-7484-4B6B-8E14-6E68BB84BBEB}"/>
    <cellStyle name="Normal 8 3 2 2 7 3" xfId="11209" xr:uid="{15D086EC-4AE9-4B81-8989-755BF566ADEA}"/>
    <cellStyle name="Normal 8 3 2 2 8" xfId="4862" xr:uid="{00000000-0005-0000-0000-0000591D0000}"/>
    <cellStyle name="Normal 8 3 2 2 8 2" xfId="13357" xr:uid="{A51BC17C-5839-41BE-B64C-6B76C3FF9D41}"/>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917" xr:uid="{2AD9790E-D4ED-4A6D-BAB8-A50ABD797C20}"/>
    <cellStyle name="Normal 8 3 2 3 2 2 3" xfId="11704" xr:uid="{70F9847E-408E-4763-B93D-7A4448F79E91}"/>
    <cellStyle name="Normal 8 3 2 3 2 3" xfId="5277" xr:uid="{00000000-0005-0000-0000-00005E1D0000}"/>
    <cellStyle name="Normal 8 3 2 3 2 3 2" xfId="13772" xr:uid="{428C93F1-AF96-421F-A83C-E5B1334B3937}"/>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330" xr:uid="{0A6E1651-7D0F-44C3-A303-52200DA44CA8}"/>
    <cellStyle name="Normal 8 3 2 3 3 2 3" xfId="12117" xr:uid="{BFC82EB6-D80E-48A5-BB3E-2B155658F1D0}"/>
    <cellStyle name="Normal 8 3 2 3 3 3" xfId="5690" xr:uid="{00000000-0005-0000-0000-0000621D0000}"/>
    <cellStyle name="Normal 8 3 2 3 3 3 2" xfId="14185" xr:uid="{3193BCCE-F85C-4D8C-BF34-423FFBD1207D}"/>
    <cellStyle name="Normal 8 3 2 3 3 4" xfId="9972" xr:uid="{D57B3E6A-494D-4697-8DCF-FAD6056B9902}"/>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743" xr:uid="{40B7DE89-FDEF-42B4-9687-12E4EA329AD0}"/>
    <cellStyle name="Normal 8 3 2 3 4 2 3" xfId="12530" xr:uid="{766E3C3A-65EA-4A9D-96F2-0D40DC2C84FE}"/>
    <cellStyle name="Normal 8 3 2 3 4 3" xfId="6103" xr:uid="{00000000-0005-0000-0000-0000661D0000}"/>
    <cellStyle name="Normal 8 3 2 3 4 3 2" xfId="14598" xr:uid="{B9F7D8D3-DAD3-4CA0-8A7C-97965B07F476}"/>
    <cellStyle name="Normal 8 3 2 3 4 4" xfId="10385" xr:uid="{C1A9AB0F-1D24-4782-AA7A-B886FD550234}"/>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56" xr:uid="{A12F0645-8541-4811-8154-8AE0586C7C52}"/>
    <cellStyle name="Normal 8 3 2 3 5 2 3" xfId="12943" xr:uid="{ED04A8E7-0216-433A-85DD-731F2A552B29}"/>
    <cellStyle name="Normal 8 3 2 3 5 3" xfId="6516" xr:uid="{00000000-0005-0000-0000-00006A1D0000}"/>
    <cellStyle name="Normal 8 3 2 3 5 3 2" xfId="15011" xr:uid="{774AC6DD-554A-4182-A82E-8A5E0EA26584}"/>
    <cellStyle name="Normal 8 3 2 3 5 4" xfId="10798" xr:uid="{61C8B43E-51EA-4507-8C3C-8D16EE68669F}"/>
    <cellStyle name="Normal 8 3 2 3 6" xfId="2646" xr:uid="{00000000-0005-0000-0000-00006B1D0000}"/>
    <cellStyle name="Normal 8 3 2 3 6 2" xfId="6929" xr:uid="{00000000-0005-0000-0000-00006C1D0000}"/>
    <cellStyle name="Normal 8 3 2 3 6 2 2" xfId="15424" xr:uid="{EE73A9E2-1D03-4C20-9B79-343198BDBFB0}"/>
    <cellStyle name="Normal 8 3 2 3 6 3" xfId="11211" xr:uid="{7EDAB488-157E-4930-87C6-231A67843161}"/>
    <cellStyle name="Normal 8 3 2 3 7" xfId="4864" xr:uid="{00000000-0005-0000-0000-00006D1D0000}"/>
    <cellStyle name="Normal 8 3 2 3 7 2" xfId="13359" xr:uid="{FFB8D7F5-98F1-4C15-BAD6-74B74B77EFE7}"/>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2 2 2" xfId="15914" xr:uid="{2891529D-354B-4266-B642-B26A1BD94052}"/>
    <cellStyle name="Normal 8 3 2 4 2 3" xfId="11701" xr:uid="{9CAAF8C0-A650-485A-8477-E6193A4CD3F1}"/>
    <cellStyle name="Normal 8 3 2 4 3" xfId="5274" xr:uid="{00000000-0005-0000-0000-0000711D0000}"/>
    <cellStyle name="Normal 8 3 2 4 3 2" xfId="13769" xr:uid="{4B0A050D-994D-4526-B27B-7A2F1DE61B88}"/>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2 2 2" xfId="16327" xr:uid="{7690FCCA-C4A6-4E72-BA37-72810EAFBA46}"/>
    <cellStyle name="Normal 8 3 2 5 2 3" xfId="12114" xr:uid="{5A49EB7C-AA2A-4D7F-86B5-A2959F834642}"/>
    <cellStyle name="Normal 8 3 2 5 3" xfId="5687" xr:uid="{00000000-0005-0000-0000-0000751D0000}"/>
    <cellStyle name="Normal 8 3 2 5 3 2" xfId="14182" xr:uid="{05B56EC1-5282-49EE-9E34-AAA005D0152A}"/>
    <cellStyle name="Normal 8 3 2 5 4" xfId="9969" xr:uid="{7E57AC70-D44C-45E7-BC3E-4D753C9BFB98}"/>
    <cellStyle name="Normal 8 3 2 6" xfId="1793" xr:uid="{00000000-0005-0000-0000-0000761D0000}"/>
    <cellStyle name="Normal 8 3 2 6 2" xfId="4023" xr:uid="{00000000-0005-0000-0000-0000771D0000}"/>
    <cellStyle name="Normal 8 3 2 6 2 2" xfId="8245" xr:uid="{00000000-0005-0000-0000-0000781D0000}"/>
    <cellStyle name="Normal 8 3 2 6 2 2 2" xfId="16740" xr:uid="{EA2539A9-4834-448A-8532-1F77A1EF8CC6}"/>
    <cellStyle name="Normal 8 3 2 6 2 3" xfId="12527" xr:uid="{C5454278-281F-4067-A4DC-6DAAC0CD4D38}"/>
    <cellStyle name="Normal 8 3 2 6 3" xfId="6100" xr:uid="{00000000-0005-0000-0000-0000791D0000}"/>
    <cellStyle name="Normal 8 3 2 6 3 2" xfId="14595" xr:uid="{10C387C2-7A1A-4117-B855-BE955AD96BC9}"/>
    <cellStyle name="Normal 8 3 2 6 4" xfId="10382" xr:uid="{E5C913EA-7742-4458-B3FD-E15D777A2560}"/>
    <cellStyle name="Normal 8 3 2 7" xfId="2207" xr:uid="{00000000-0005-0000-0000-00007A1D0000}"/>
    <cellStyle name="Normal 8 3 2 7 2" xfId="4436" xr:uid="{00000000-0005-0000-0000-00007B1D0000}"/>
    <cellStyle name="Normal 8 3 2 7 2 2" xfId="8658" xr:uid="{00000000-0005-0000-0000-00007C1D0000}"/>
    <cellStyle name="Normal 8 3 2 7 2 2 2" xfId="17153" xr:uid="{607B1000-8840-41B2-A99C-A80851F7B7A0}"/>
    <cellStyle name="Normal 8 3 2 7 2 3" xfId="12940" xr:uid="{86E24452-A6E6-4DBA-88EA-772488EF3DB6}"/>
    <cellStyle name="Normal 8 3 2 7 3" xfId="6513" xr:uid="{00000000-0005-0000-0000-00007D1D0000}"/>
    <cellStyle name="Normal 8 3 2 7 3 2" xfId="15008" xr:uid="{E1106B95-B56E-474D-BE9C-92E470E7BF4F}"/>
    <cellStyle name="Normal 8 3 2 7 4" xfId="10795" xr:uid="{FCEA3730-E989-4A01-907F-8B97EF527404}"/>
    <cellStyle name="Normal 8 3 2 8" xfId="2643" xr:uid="{00000000-0005-0000-0000-00007E1D0000}"/>
    <cellStyle name="Normal 8 3 2 8 2" xfId="6926" xr:uid="{00000000-0005-0000-0000-00007F1D0000}"/>
    <cellStyle name="Normal 8 3 2 8 2 2" xfId="15421" xr:uid="{83398C8F-030B-47C5-9457-2C410ABA0EF8}"/>
    <cellStyle name="Normal 8 3 2 8 3" xfId="11208" xr:uid="{3D1D09AF-9F38-4EAF-AF7F-08D7459FBFFA}"/>
    <cellStyle name="Normal 8 3 2 9" xfId="4861" xr:uid="{00000000-0005-0000-0000-0000801D0000}"/>
    <cellStyle name="Normal 8 3 2 9 2" xfId="13356" xr:uid="{80FBD8C2-8AE8-4B10-9EC1-65C62C612CF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919" xr:uid="{4CA6F490-F2D4-4357-AFEA-676A422D6AF6}"/>
    <cellStyle name="Normal 8 3 3 2 2 2 3" xfId="11706" xr:uid="{706F246D-9CE8-40EE-AF54-F4C4C5BECDC0}"/>
    <cellStyle name="Normal 8 3 3 2 2 3" xfId="5279" xr:uid="{00000000-0005-0000-0000-0000861D0000}"/>
    <cellStyle name="Normal 8 3 3 2 2 3 2" xfId="13774" xr:uid="{3E764D52-19FB-4DBD-9664-52934322B2FA}"/>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332" xr:uid="{8B737A95-C601-4430-91C3-7AA16D72E39C}"/>
    <cellStyle name="Normal 8 3 3 2 3 2 3" xfId="12119" xr:uid="{3DCD0063-36D8-479B-8E0F-5958F5250182}"/>
    <cellStyle name="Normal 8 3 3 2 3 3" xfId="5692" xr:uid="{00000000-0005-0000-0000-00008A1D0000}"/>
    <cellStyle name="Normal 8 3 3 2 3 3 2" xfId="14187" xr:uid="{8895DC07-054A-4E01-BD80-E23E0490E0D0}"/>
    <cellStyle name="Normal 8 3 3 2 3 4" xfId="9974" xr:uid="{6F7846CF-AA3F-4C6F-B2BE-6E1122EAF14C}"/>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45" xr:uid="{330BCF4C-5042-4CB2-B5D2-8D0967880A78}"/>
    <cellStyle name="Normal 8 3 3 2 4 2 3" xfId="12532" xr:uid="{FB8E40B5-ABE9-4B0C-807B-1FD14A2336A9}"/>
    <cellStyle name="Normal 8 3 3 2 4 3" xfId="6105" xr:uid="{00000000-0005-0000-0000-00008E1D0000}"/>
    <cellStyle name="Normal 8 3 3 2 4 3 2" xfId="14600" xr:uid="{09C082A1-0CE9-4B46-8C07-41B28DDF8A34}"/>
    <cellStyle name="Normal 8 3 3 2 4 4" xfId="10387" xr:uid="{2B352802-8A46-43C3-A427-ACFB01391D34}"/>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58" xr:uid="{0D5217D7-157F-4D2B-B235-323898FDC76D}"/>
    <cellStyle name="Normal 8 3 3 2 5 2 3" xfId="12945" xr:uid="{11E4BD0D-4E57-45E5-9823-03F6A52B7CE2}"/>
    <cellStyle name="Normal 8 3 3 2 5 3" xfId="6518" xr:uid="{00000000-0005-0000-0000-0000921D0000}"/>
    <cellStyle name="Normal 8 3 3 2 5 3 2" xfId="15013" xr:uid="{FAB02E66-5C54-46AC-B59B-B3028F000011}"/>
    <cellStyle name="Normal 8 3 3 2 5 4" xfId="10800" xr:uid="{F45B4C84-CD8C-49E7-931D-0BBECA45DD05}"/>
    <cellStyle name="Normal 8 3 3 2 6" xfId="2648" xr:uid="{00000000-0005-0000-0000-0000931D0000}"/>
    <cellStyle name="Normal 8 3 3 2 6 2" xfId="6931" xr:uid="{00000000-0005-0000-0000-0000941D0000}"/>
    <cellStyle name="Normal 8 3 3 2 6 2 2" xfId="15426" xr:uid="{8FFCBF60-9990-4270-A8D3-3A59F748F46D}"/>
    <cellStyle name="Normal 8 3 3 2 6 3" xfId="11213" xr:uid="{A777B9FF-1CB7-4E59-8542-F88B07711C97}"/>
    <cellStyle name="Normal 8 3 3 2 7" xfId="4866" xr:uid="{00000000-0005-0000-0000-0000951D0000}"/>
    <cellStyle name="Normal 8 3 3 2 7 2" xfId="13361" xr:uid="{E41EFC9A-B373-46C5-A7AD-602CAED1B462}"/>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2 2 2" xfId="15918" xr:uid="{CC0E3597-2B68-473E-9F74-0E920B5399EE}"/>
    <cellStyle name="Normal 8 3 3 3 2 3" xfId="11705" xr:uid="{30AE766D-FA80-4170-9FD0-FDB1FAE51091}"/>
    <cellStyle name="Normal 8 3 3 3 3" xfId="5278" xr:uid="{00000000-0005-0000-0000-0000991D0000}"/>
    <cellStyle name="Normal 8 3 3 3 3 2" xfId="13773" xr:uid="{2140BFD8-2E95-4EC4-A034-ED30AA14C1DC}"/>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2 2 2" xfId="16331" xr:uid="{3DD604AA-DC9E-4C16-B2A2-4D7688471580}"/>
    <cellStyle name="Normal 8 3 3 4 2 3" xfId="12118" xr:uid="{C52C58B4-457A-46EE-AF77-AD076A4CC24F}"/>
    <cellStyle name="Normal 8 3 3 4 3" xfId="5691" xr:uid="{00000000-0005-0000-0000-00009D1D0000}"/>
    <cellStyle name="Normal 8 3 3 4 3 2" xfId="14186" xr:uid="{9E73D0AF-DF0B-4D58-9EA2-8D9D402AD600}"/>
    <cellStyle name="Normal 8 3 3 4 4" xfId="9973" xr:uid="{415A23B6-C30B-47FB-A5E2-C0AF7308FBDD}"/>
    <cellStyle name="Normal 8 3 3 5" xfId="1797" xr:uid="{00000000-0005-0000-0000-00009E1D0000}"/>
    <cellStyle name="Normal 8 3 3 5 2" xfId="4027" xr:uid="{00000000-0005-0000-0000-00009F1D0000}"/>
    <cellStyle name="Normal 8 3 3 5 2 2" xfId="8249" xr:uid="{00000000-0005-0000-0000-0000A01D0000}"/>
    <cellStyle name="Normal 8 3 3 5 2 2 2" xfId="16744" xr:uid="{A30857F7-38F4-4FA9-BD39-FB01DC44CF87}"/>
    <cellStyle name="Normal 8 3 3 5 2 3" xfId="12531" xr:uid="{E4E54C4B-E409-4E79-ADB3-86B43B27EE66}"/>
    <cellStyle name="Normal 8 3 3 5 3" xfId="6104" xr:uid="{00000000-0005-0000-0000-0000A11D0000}"/>
    <cellStyle name="Normal 8 3 3 5 3 2" xfId="14599" xr:uid="{81BF9BD2-308C-4D9C-B22D-C05CCD500100}"/>
    <cellStyle name="Normal 8 3 3 5 4" xfId="10386" xr:uid="{4A361225-B0C0-4D1F-B81F-27104102B2B7}"/>
    <cellStyle name="Normal 8 3 3 6" xfId="2211" xr:uid="{00000000-0005-0000-0000-0000A21D0000}"/>
    <cellStyle name="Normal 8 3 3 6 2" xfId="4440" xr:uid="{00000000-0005-0000-0000-0000A31D0000}"/>
    <cellStyle name="Normal 8 3 3 6 2 2" xfId="8662" xr:uid="{00000000-0005-0000-0000-0000A41D0000}"/>
    <cellStyle name="Normal 8 3 3 6 2 2 2" xfId="17157" xr:uid="{9D823326-D262-4793-A201-3E0DF8879B7E}"/>
    <cellStyle name="Normal 8 3 3 6 2 3" xfId="12944" xr:uid="{FB8794B5-8952-4F86-B2BA-36C35CBBCCD0}"/>
    <cellStyle name="Normal 8 3 3 6 3" xfId="6517" xr:uid="{00000000-0005-0000-0000-0000A51D0000}"/>
    <cellStyle name="Normal 8 3 3 6 3 2" xfId="15012" xr:uid="{EEE257E5-2E5B-4D7C-A580-EDDABBAAFB2D}"/>
    <cellStyle name="Normal 8 3 3 6 4" xfId="10799" xr:uid="{53FD149C-9626-4A71-A607-2F233E5CD06F}"/>
    <cellStyle name="Normal 8 3 3 7" xfId="2647" xr:uid="{00000000-0005-0000-0000-0000A61D0000}"/>
    <cellStyle name="Normal 8 3 3 7 2" xfId="6930" xr:uid="{00000000-0005-0000-0000-0000A71D0000}"/>
    <cellStyle name="Normal 8 3 3 7 2 2" xfId="15425" xr:uid="{8CC7CFC7-0CB0-47CD-AEF6-4229F856F47A}"/>
    <cellStyle name="Normal 8 3 3 7 3" xfId="11212" xr:uid="{B024ED86-92B0-4970-9199-93AB2BF6DF51}"/>
    <cellStyle name="Normal 8 3 3 8" xfId="4865" xr:uid="{00000000-0005-0000-0000-0000A81D0000}"/>
    <cellStyle name="Normal 8 3 3 8 2" xfId="13360" xr:uid="{04C89508-70D8-4511-A320-C59C3ADD6FC3}"/>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920" xr:uid="{9257B44D-CFB2-4238-8040-CA8AF777D203}"/>
    <cellStyle name="Normal 8 3 4 2 2 3" xfId="11707" xr:uid="{6FDD48B1-AF33-4AA2-932C-73CCC4DF14A7}"/>
    <cellStyle name="Normal 8 3 4 2 3" xfId="5280" xr:uid="{00000000-0005-0000-0000-0000AD1D0000}"/>
    <cellStyle name="Normal 8 3 4 2 3 2" xfId="13775" xr:uid="{013D27AB-6612-45EA-9897-68E9986E5014}"/>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2 2 2" xfId="16333" xr:uid="{C0FF91C5-8A53-4B1F-86CB-BE1739D54B06}"/>
    <cellStyle name="Normal 8 3 4 3 2 3" xfId="12120" xr:uid="{F99847A3-A26A-4A80-9F0A-EFA811628B9A}"/>
    <cellStyle name="Normal 8 3 4 3 3" xfId="5693" xr:uid="{00000000-0005-0000-0000-0000B11D0000}"/>
    <cellStyle name="Normal 8 3 4 3 3 2" xfId="14188" xr:uid="{C0D3B6FD-30BC-4E1A-A832-1CC5A2D7BCBF}"/>
    <cellStyle name="Normal 8 3 4 3 4" xfId="9975" xr:uid="{40BB3776-18E8-4CF3-9DAB-366AAC16A774}"/>
    <cellStyle name="Normal 8 3 4 4" xfId="1799" xr:uid="{00000000-0005-0000-0000-0000B21D0000}"/>
    <cellStyle name="Normal 8 3 4 4 2" xfId="4029" xr:uid="{00000000-0005-0000-0000-0000B31D0000}"/>
    <cellStyle name="Normal 8 3 4 4 2 2" xfId="8251" xr:uid="{00000000-0005-0000-0000-0000B41D0000}"/>
    <cellStyle name="Normal 8 3 4 4 2 2 2" xfId="16746" xr:uid="{44F284D6-84EC-49E9-98D1-AFB94B7E8155}"/>
    <cellStyle name="Normal 8 3 4 4 2 3" xfId="12533" xr:uid="{782A5F09-1AAA-4E21-96F1-915D725DA2E6}"/>
    <cellStyle name="Normal 8 3 4 4 3" xfId="6106" xr:uid="{00000000-0005-0000-0000-0000B51D0000}"/>
    <cellStyle name="Normal 8 3 4 4 3 2" xfId="14601" xr:uid="{DE9355FB-5439-42BB-8C44-D408A25BBD28}"/>
    <cellStyle name="Normal 8 3 4 4 4" xfId="10388" xr:uid="{9200C2B4-954C-4831-8601-8244184D5770}"/>
    <cellStyle name="Normal 8 3 4 5" xfId="2213" xr:uid="{00000000-0005-0000-0000-0000B61D0000}"/>
    <cellStyle name="Normal 8 3 4 5 2" xfId="4442" xr:uid="{00000000-0005-0000-0000-0000B71D0000}"/>
    <cellStyle name="Normal 8 3 4 5 2 2" xfId="8664" xr:uid="{00000000-0005-0000-0000-0000B81D0000}"/>
    <cellStyle name="Normal 8 3 4 5 2 2 2" xfId="17159" xr:uid="{04138B54-ADFC-4C96-81AD-53240ADDFA0E}"/>
    <cellStyle name="Normal 8 3 4 5 2 3" xfId="12946" xr:uid="{F3C1C76C-FC62-43BD-A2F8-63156CEE68C2}"/>
    <cellStyle name="Normal 8 3 4 5 3" xfId="6519" xr:uid="{00000000-0005-0000-0000-0000B91D0000}"/>
    <cellStyle name="Normal 8 3 4 5 3 2" xfId="15014" xr:uid="{E9F3E571-6FFC-4BBC-B3C8-5535E6A87784}"/>
    <cellStyle name="Normal 8 3 4 5 4" xfId="10801" xr:uid="{FA28B54B-BB07-4576-B54B-2C829694735E}"/>
    <cellStyle name="Normal 8 3 4 6" xfId="2649" xr:uid="{00000000-0005-0000-0000-0000BA1D0000}"/>
    <cellStyle name="Normal 8 3 4 6 2" xfId="6932" xr:uid="{00000000-0005-0000-0000-0000BB1D0000}"/>
    <cellStyle name="Normal 8 3 4 6 2 2" xfId="15427" xr:uid="{9114B52C-A7A7-4978-A495-D8248C9FA321}"/>
    <cellStyle name="Normal 8 3 4 6 3" xfId="11214" xr:uid="{2B9F072F-3AAC-4522-888F-69FD50D6A8B2}"/>
    <cellStyle name="Normal 8 3 4 7" xfId="4867" xr:uid="{00000000-0005-0000-0000-0000BC1D0000}"/>
    <cellStyle name="Normal 8 3 4 7 2" xfId="13362" xr:uid="{651524CE-90E0-40E4-BF7A-E9FF0488005A}"/>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2 2 2" xfId="15913" xr:uid="{23EB5E24-2534-4BEB-B27A-4BB9E1BB5D62}"/>
    <cellStyle name="Normal 8 3 5 2 3" xfId="11700" xr:uid="{5A8F2AEC-9690-46D9-A3D7-A41014971ADC}"/>
    <cellStyle name="Normal 8 3 5 3" xfId="5273" xr:uid="{00000000-0005-0000-0000-0000C01D0000}"/>
    <cellStyle name="Normal 8 3 5 3 2" xfId="13768" xr:uid="{75DC4BF2-F461-4336-A269-D1E473895FE1}"/>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2 2 2" xfId="16326" xr:uid="{5F887647-55CB-4999-875A-690EA4C61B90}"/>
    <cellStyle name="Normal 8 3 6 2 3" xfId="12113" xr:uid="{2900DF10-7F12-4114-A4E1-3B2543CB4D86}"/>
    <cellStyle name="Normal 8 3 6 3" xfId="5686" xr:uid="{00000000-0005-0000-0000-0000C41D0000}"/>
    <cellStyle name="Normal 8 3 6 3 2" xfId="14181" xr:uid="{E4830EA8-68DF-4FCA-914A-DEEA10A03F22}"/>
    <cellStyle name="Normal 8 3 6 4" xfId="9968" xr:uid="{7E008C57-049C-4422-B0E7-E3B5E83CFEC2}"/>
    <cellStyle name="Normal 8 3 7" xfId="1792" xr:uid="{00000000-0005-0000-0000-0000C51D0000}"/>
    <cellStyle name="Normal 8 3 7 2" xfId="4022" xr:uid="{00000000-0005-0000-0000-0000C61D0000}"/>
    <cellStyle name="Normal 8 3 7 2 2" xfId="8244" xr:uid="{00000000-0005-0000-0000-0000C71D0000}"/>
    <cellStyle name="Normal 8 3 7 2 2 2" xfId="16739" xr:uid="{6F25C324-B04E-4D0C-8D0B-97D07783F13C}"/>
    <cellStyle name="Normal 8 3 7 2 3" xfId="12526" xr:uid="{1B588E13-66BC-402C-9570-5CDB83C60F82}"/>
    <cellStyle name="Normal 8 3 7 3" xfId="6099" xr:uid="{00000000-0005-0000-0000-0000C81D0000}"/>
    <cellStyle name="Normal 8 3 7 3 2" xfId="14594" xr:uid="{387EC6BF-5673-44EB-8EA2-17A76717A605}"/>
    <cellStyle name="Normal 8 3 7 4" xfId="10381" xr:uid="{ADE405B8-4FDB-4FC1-B928-9B5DF5FE29A2}"/>
    <cellStyle name="Normal 8 3 8" xfId="2206" xr:uid="{00000000-0005-0000-0000-0000C91D0000}"/>
    <cellStyle name="Normal 8 3 8 2" xfId="4435" xr:uid="{00000000-0005-0000-0000-0000CA1D0000}"/>
    <cellStyle name="Normal 8 3 8 2 2" xfId="8657" xr:uid="{00000000-0005-0000-0000-0000CB1D0000}"/>
    <cellStyle name="Normal 8 3 8 2 2 2" xfId="17152" xr:uid="{4BB5379E-EA8E-47F5-9674-179D776769E9}"/>
    <cellStyle name="Normal 8 3 8 2 3" xfId="12939" xr:uid="{A60E19E8-501A-4EC1-A93F-E1B87AC279AC}"/>
    <cellStyle name="Normal 8 3 8 3" xfId="6512" xr:uid="{00000000-0005-0000-0000-0000CC1D0000}"/>
    <cellStyle name="Normal 8 3 8 3 2" xfId="15007" xr:uid="{63FE8462-4524-45B2-BEDD-B8552E75C200}"/>
    <cellStyle name="Normal 8 3 8 4" xfId="10794" xr:uid="{5F61FD1B-2108-4E29-93C7-70B74064E7E5}"/>
    <cellStyle name="Normal 8 3 9" xfId="2642" xr:uid="{00000000-0005-0000-0000-0000CD1D0000}"/>
    <cellStyle name="Normal 8 3 9 2" xfId="6925" xr:uid="{00000000-0005-0000-0000-0000CE1D0000}"/>
    <cellStyle name="Normal 8 3 9 2 2" xfId="15420" xr:uid="{B3C95B0B-E008-46A2-A071-A33E770A4821}"/>
    <cellStyle name="Normal 8 3 9 3" xfId="11207" xr:uid="{115040AA-44A0-45D1-AC6B-6B14EF785A7E}"/>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923" xr:uid="{5FAEA189-73B7-4271-BE88-34FB6BC47891}"/>
    <cellStyle name="Normal 8 4 2 2 2 2 3" xfId="11710" xr:uid="{16FF351A-A4B4-47ED-8CF5-396A52117AFC}"/>
    <cellStyle name="Normal 8 4 2 2 2 3" xfId="5283" xr:uid="{00000000-0005-0000-0000-0000D51D0000}"/>
    <cellStyle name="Normal 8 4 2 2 2 3 2" xfId="13778" xr:uid="{1CF98174-1B24-4D7F-AA0E-0AF8E1C2DA58}"/>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336" xr:uid="{7321CE92-8989-4F4C-8218-4E6C77B1A04E}"/>
    <cellStyle name="Normal 8 4 2 2 3 2 3" xfId="12123" xr:uid="{0B25E083-F3D1-466F-8D60-A2985C9E56D8}"/>
    <cellStyle name="Normal 8 4 2 2 3 3" xfId="5696" xr:uid="{00000000-0005-0000-0000-0000D91D0000}"/>
    <cellStyle name="Normal 8 4 2 2 3 3 2" xfId="14191" xr:uid="{E75D0C2B-3513-4457-8DD7-AADADCD70134}"/>
    <cellStyle name="Normal 8 4 2 2 3 4" xfId="9978" xr:uid="{DA5C69CE-8E5E-48D9-827E-26C9BB26CC93}"/>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49" xr:uid="{34B094EF-D84A-407A-8025-001FE6628951}"/>
    <cellStyle name="Normal 8 4 2 2 4 2 3" xfId="12536" xr:uid="{C6837527-7AF4-49CB-AAE2-86BF15B98449}"/>
    <cellStyle name="Normal 8 4 2 2 4 3" xfId="6109" xr:uid="{00000000-0005-0000-0000-0000DD1D0000}"/>
    <cellStyle name="Normal 8 4 2 2 4 3 2" xfId="14604" xr:uid="{C6EBC90F-2B11-4DF5-8C1F-52CB125180D6}"/>
    <cellStyle name="Normal 8 4 2 2 4 4" xfId="10391" xr:uid="{745378A7-F6EA-4363-95A3-BBE43AE0E37B}"/>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62" xr:uid="{8BD619A4-A6BD-4409-8B0C-4DD85F91D3DE}"/>
    <cellStyle name="Normal 8 4 2 2 5 2 3" xfId="12949" xr:uid="{D9B5F17A-5FB0-4E99-81D3-E164B8FD28B9}"/>
    <cellStyle name="Normal 8 4 2 2 5 3" xfId="6522" xr:uid="{00000000-0005-0000-0000-0000E11D0000}"/>
    <cellStyle name="Normal 8 4 2 2 5 3 2" xfId="15017" xr:uid="{E4044F9F-299A-4191-9288-3D0AEEE11B02}"/>
    <cellStyle name="Normal 8 4 2 2 5 4" xfId="10804" xr:uid="{2C2739DA-B0E4-41DA-81DC-E3E26F1FCFAB}"/>
    <cellStyle name="Normal 8 4 2 2 6" xfId="2652" xr:uid="{00000000-0005-0000-0000-0000E21D0000}"/>
    <cellStyle name="Normal 8 4 2 2 6 2" xfId="6935" xr:uid="{00000000-0005-0000-0000-0000E31D0000}"/>
    <cellStyle name="Normal 8 4 2 2 6 2 2" xfId="15430" xr:uid="{7D0A3154-0002-44F0-BB21-4DF72DD0ECBE}"/>
    <cellStyle name="Normal 8 4 2 2 6 3" xfId="11217" xr:uid="{F41B28A7-3A12-4DDD-841C-D0DC21F2C9F2}"/>
    <cellStyle name="Normal 8 4 2 2 7" xfId="4870" xr:uid="{00000000-0005-0000-0000-0000E41D0000}"/>
    <cellStyle name="Normal 8 4 2 2 7 2" xfId="13365" xr:uid="{5BB4DAD5-135F-4E36-8BDA-122BD5E621CA}"/>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2 2 2" xfId="15922" xr:uid="{86538161-1421-4C3C-BA05-A93F82CA6A00}"/>
    <cellStyle name="Normal 8 4 2 3 2 3" xfId="11709" xr:uid="{FD62A709-5889-46E7-BCA8-1B5BAC4A77F4}"/>
    <cellStyle name="Normal 8 4 2 3 3" xfId="5282" xr:uid="{00000000-0005-0000-0000-0000E81D0000}"/>
    <cellStyle name="Normal 8 4 2 3 3 2" xfId="13777" xr:uid="{224052EF-A327-4FED-BF60-FF559AC89DF9}"/>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2 2 2" xfId="16335" xr:uid="{57EB979E-ED22-4C42-8390-ADFA31B86C30}"/>
    <cellStyle name="Normal 8 4 2 4 2 3" xfId="12122" xr:uid="{6DD37D60-698D-4D1D-B426-EEEA80370ACA}"/>
    <cellStyle name="Normal 8 4 2 4 3" xfId="5695" xr:uid="{00000000-0005-0000-0000-0000EC1D0000}"/>
    <cellStyle name="Normal 8 4 2 4 3 2" xfId="14190" xr:uid="{17759D46-D80E-4134-99FA-94942F021DB2}"/>
    <cellStyle name="Normal 8 4 2 4 4" xfId="9977" xr:uid="{106CB912-6DFD-4A88-8E3F-FE1C21DF6E57}"/>
    <cellStyle name="Normal 8 4 2 5" xfId="1801" xr:uid="{00000000-0005-0000-0000-0000ED1D0000}"/>
    <cellStyle name="Normal 8 4 2 5 2" xfId="4031" xr:uid="{00000000-0005-0000-0000-0000EE1D0000}"/>
    <cellStyle name="Normal 8 4 2 5 2 2" xfId="8253" xr:uid="{00000000-0005-0000-0000-0000EF1D0000}"/>
    <cellStyle name="Normal 8 4 2 5 2 2 2" xfId="16748" xr:uid="{635E1401-EA50-44E6-B27A-3C33763B4014}"/>
    <cellStyle name="Normal 8 4 2 5 2 3" xfId="12535" xr:uid="{7987C6E5-A6C7-4677-9FBA-437C4EF5D61B}"/>
    <cellStyle name="Normal 8 4 2 5 3" xfId="6108" xr:uid="{00000000-0005-0000-0000-0000F01D0000}"/>
    <cellStyle name="Normal 8 4 2 5 3 2" xfId="14603" xr:uid="{0B5F8CD6-F194-45BE-AD12-60A7A8E3B660}"/>
    <cellStyle name="Normal 8 4 2 5 4" xfId="10390" xr:uid="{9DBFD4BD-E14A-4A99-AA5E-043C8504D19A}"/>
    <cellStyle name="Normal 8 4 2 6" xfId="2215" xr:uid="{00000000-0005-0000-0000-0000F11D0000}"/>
    <cellStyle name="Normal 8 4 2 6 2" xfId="4444" xr:uid="{00000000-0005-0000-0000-0000F21D0000}"/>
    <cellStyle name="Normal 8 4 2 6 2 2" xfId="8666" xr:uid="{00000000-0005-0000-0000-0000F31D0000}"/>
    <cellStyle name="Normal 8 4 2 6 2 2 2" xfId="17161" xr:uid="{95EE0E6F-E0FD-4E48-857C-C111323B8783}"/>
    <cellStyle name="Normal 8 4 2 6 2 3" xfId="12948" xr:uid="{B8162754-79B5-4501-81CE-5B2320981EBC}"/>
    <cellStyle name="Normal 8 4 2 6 3" xfId="6521" xr:uid="{00000000-0005-0000-0000-0000F41D0000}"/>
    <cellStyle name="Normal 8 4 2 6 3 2" xfId="15016" xr:uid="{2A1633D2-0803-42FA-A945-9C59610B5139}"/>
    <cellStyle name="Normal 8 4 2 6 4" xfId="10803" xr:uid="{9E8B21AC-2804-4AAE-ADC4-45E73BFB8D1B}"/>
    <cellStyle name="Normal 8 4 2 7" xfId="2651" xr:uid="{00000000-0005-0000-0000-0000F51D0000}"/>
    <cellStyle name="Normal 8 4 2 7 2" xfId="6934" xr:uid="{00000000-0005-0000-0000-0000F61D0000}"/>
    <cellStyle name="Normal 8 4 2 7 2 2" xfId="15429" xr:uid="{216A4B52-6659-459B-A15B-F0163300D169}"/>
    <cellStyle name="Normal 8 4 2 7 3" xfId="11216" xr:uid="{5C417BEB-1E67-4AF3-812A-A39E1C821EBC}"/>
    <cellStyle name="Normal 8 4 2 8" xfId="4869" xr:uid="{00000000-0005-0000-0000-0000F71D0000}"/>
    <cellStyle name="Normal 8 4 2 8 2" xfId="13364" xr:uid="{8E208188-1CE9-46AF-A042-1A4E0E2E64D1}"/>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924" xr:uid="{2DE92804-5F69-499B-BFEB-658794F11450}"/>
    <cellStyle name="Normal 8 4 3 2 2 3" xfId="11711" xr:uid="{4D8F262A-7CC1-4483-999F-B25AB15797CE}"/>
    <cellStyle name="Normal 8 4 3 2 3" xfId="5284" xr:uid="{00000000-0005-0000-0000-0000FC1D0000}"/>
    <cellStyle name="Normal 8 4 3 2 3 2" xfId="13779" xr:uid="{8B729849-DD56-4009-AA0C-F693A51A304D}"/>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2 2 2" xfId="16337" xr:uid="{AE213AC6-CEDE-42A3-A4DE-5B99D3741F26}"/>
    <cellStyle name="Normal 8 4 3 3 2 3" xfId="12124" xr:uid="{FE0C2C54-4636-4252-B20E-A157A9357D98}"/>
    <cellStyle name="Normal 8 4 3 3 3" xfId="5697" xr:uid="{00000000-0005-0000-0000-0000001E0000}"/>
    <cellStyle name="Normal 8 4 3 3 3 2" xfId="14192" xr:uid="{3C5A653F-EE31-493B-AF84-370EFD81157E}"/>
    <cellStyle name="Normal 8 4 3 3 4" xfId="9979" xr:uid="{3C88D38A-B027-4799-9327-0E57DA98ADCD}"/>
    <cellStyle name="Normal 8 4 3 4" xfId="1803" xr:uid="{00000000-0005-0000-0000-0000011E0000}"/>
    <cellStyle name="Normal 8 4 3 4 2" xfId="4033" xr:uid="{00000000-0005-0000-0000-0000021E0000}"/>
    <cellStyle name="Normal 8 4 3 4 2 2" xfId="8255" xr:uid="{00000000-0005-0000-0000-0000031E0000}"/>
    <cellStyle name="Normal 8 4 3 4 2 2 2" xfId="16750" xr:uid="{B94FEBE7-46AE-493A-804D-FD7A1F2FDEA3}"/>
    <cellStyle name="Normal 8 4 3 4 2 3" xfId="12537" xr:uid="{ABB38E8E-3488-4276-96DD-78FF44213C3E}"/>
    <cellStyle name="Normal 8 4 3 4 3" xfId="6110" xr:uid="{00000000-0005-0000-0000-0000041E0000}"/>
    <cellStyle name="Normal 8 4 3 4 3 2" xfId="14605" xr:uid="{F1AB9131-9077-44DC-A84A-642B2DE9BA3A}"/>
    <cellStyle name="Normal 8 4 3 4 4" xfId="10392" xr:uid="{49E761F5-695C-49C7-A4A7-44AB4435E23A}"/>
    <cellStyle name="Normal 8 4 3 5" xfId="2217" xr:uid="{00000000-0005-0000-0000-0000051E0000}"/>
    <cellStyle name="Normal 8 4 3 5 2" xfId="4446" xr:uid="{00000000-0005-0000-0000-0000061E0000}"/>
    <cellStyle name="Normal 8 4 3 5 2 2" xfId="8668" xr:uid="{00000000-0005-0000-0000-0000071E0000}"/>
    <cellStyle name="Normal 8 4 3 5 2 2 2" xfId="17163" xr:uid="{A7224FE6-F003-483B-94BB-809D4A176C2C}"/>
    <cellStyle name="Normal 8 4 3 5 2 3" xfId="12950" xr:uid="{20D08B96-2A0A-4164-9F31-42A6E6756A69}"/>
    <cellStyle name="Normal 8 4 3 5 3" xfId="6523" xr:uid="{00000000-0005-0000-0000-0000081E0000}"/>
    <cellStyle name="Normal 8 4 3 5 3 2" xfId="15018" xr:uid="{63EC9603-3164-4533-96D2-9769EC18E171}"/>
    <cellStyle name="Normal 8 4 3 5 4" xfId="10805" xr:uid="{CE198EA8-B8A5-40D1-8D67-C4288B38FB19}"/>
    <cellStyle name="Normal 8 4 3 6" xfId="2653" xr:uid="{00000000-0005-0000-0000-0000091E0000}"/>
    <cellStyle name="Normal 8 4 3 6 2" xfId="6936" xr:uid="{00000000-0005-0000-0000-00000A1E0000}"/>
    <cellStyle name="Normal 8 4 3 6 2 2" xfId="15431" xr:uid="{4CECB851-1C86-45FF-9246-928C7F27CB7E}"/>
    <cellStyle name="Normal 8 4 3 6 3" xfId="11218" xr:uid="{0633D011-34AF-4852-B7DA-408657C1D1C6}"/>
    <cellStyle name="Normal 8 4 3 7" xfId="4871" xr:uid="{00000000-0005-0000-0000-00000B1E0000}"/>
    <cellStyle name="Normal 8 4 3 7 2" xfId="13366" xr:uid="{B433168B-69FD-436C-AD2E-44B87360C14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2 2 2" xfId="15921" xr:uid="{891E9657-0DED-441C-8C68-90C454BEAFEE}"/>
    <cellStyle name="Normal 8 4 4 2 3" xfId="11708" xr:uid="{1487BEF3-0C66-434C-9715-BD37726DF0B3}"/>
    <cellStyle name="Normal 8 4 4 3" xfId="5281" xr:uid="{00000000-0005-0000-0000-00000F1E0000}"/>
    <cellStyle name="Normal 8 4 4 3 2" xfId="13776" xr:uid="{39ED94DD-A2EE-48BE-98DD-5804F805E8AA}"/>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2 2 2" xfId="16334" xr:uid="{D6DD5240-1A93-435E-A21F-1C1BCC33A231}"/>
    <cellStyle name="Normal 8 4 5 2 3" xfId="12121" xr:uid="{61F92A10-54DB-43F4-966D-4668503A0FF0}"/>
    <cellStyle name="Normal 8 4 5 3" xfId="5694" xr:uid="{00000000-0005-0000-0000-0000131E0000}"/>
    <cellStyle name="Normal 8 4 5 3 2" xfId="14189" xr:uid="{7BE3710A-6D4A-4F12-8C1B-D6095F134721}"/>
    <cellStyle name="Normal 8 4 5 4" xfId="9976" xr:uid="{CA3D7E03-53AF-45D0-9F96-2887EC1F2A28}"/>
    <cellStyle name="Normal 8 4 6" xfId="1800" xr:uid="{00000000-0005-0000-0000-0000141E0000}"/>
    <cellStyle name="Normal 8 4 6 2" xfId="4030" xr:uid="{00000000-0005-0000-0000-0000151E0000}"/>
    <cellStyle name="Normal 8 4 6 2 2" xfId="8252" xr:uid="{00000000-0005-0000-0000-0000161E0000}"/>
    <cellStyle name="Normal 8 4 6 2 2 2" xfId="16747" xr:uid="{EBAF2FBE-8F99-4999-B1AC-B8EFAFCAFBC0}"/>
    <cellStyle name="Normal 8 4 6 2 3" xfId="12534" xr:uid="{29D3ACB6-F4E3-4227-AB1A-B547D1DDF01A}"/>
    <cellStyle name="Normal 8 4 6 3" xfId="6107" xr:uid="{00000000-0005-0000-0000-0000171E0000}"/>
    <cellStyle name="Normal 8 4 6 3 2" xfId="14602" xr:uid="{57F24BEC-B5A4-460C-889F-EBB3FA2E88EF}"/>
    <cellStyle name="Normal 8 4 6 4" xfId="10389" xr:uid="{1CC23215-5D57-4A6B-9DBC-AAB615D88BD6}"/>
    <cellStyle name="Normal 8 4 7" xfId="2214" xr:uid="{00000000-0005-0000-0000-0000181E0000}"/>
    <cellStyle name="Normal 8 4 7 2" xfId="4443" xr:uid="{00000000-0005-0000-0000-0000191E0000}"/>
    <cellStyle name="Normal 8 4 7 2 2" xfId="8665" xr:uid="{00000000-0005-0000-0000-00001A1E0000}"/>
    <cellStyle name="Normal 8 4 7 2 2 2" xfId="17160" xr:uid="{DCE8421C-A64E-41E5-98A0-57C2053CD251}"/>
    <cellStyle name="Normal 8 4 7 2 3" xfId="12947" xr:uid="{B723AD3A-6629-43E1-AB09-5B620A88693C}"/>
    <cellStyle name="Normal 8 4 7 3" xfId="6520" xr:uid="{00000000-0005-0000-0000-00001B1E0000}"/>
    <cellStyle name="Normal 8 4 7 3 2" xfId="15015" xr:uid="{790EB3FF-EF7B-4E1C-8C51-D59A3BBE7AD7}"/>
    <cellStyle name="Normal 8 4 7 4" xfId="10802" xr:uid="{913390F5-835F-4CD9-80C6-AA69DA0182D5}"/>
    <cellStyle name="Normal 8 4 8" xfId="2650" xr:uid="{00000000-0005-0000-0000-00001C1E0000}"/>
    <cellStyle name="Normal 8 4 8 2" xfId="6933" xr:uid="{00000000-0005-0000-0000-00001D1E0000}"/>
    <cellStyle name="Normal 8 4 8 2 2" xfId="15428" xr:uid="{815C1F58-AF25-4B17-8CB6-E42CD21FD2E8}"/>
    <cellStyle name="Normal 8 4 8 3" xfId="11215" xr:uid="{593E733C-14C6-4ECA-9963-14538A787A18}"/>
    <cellStyle name="Normal 8 4 9" xfId="4868" xr:uid="{00000000-0005-0000-0000-00001E1E0000}"/>
    <cellStyle name="Normal 8 4 9 2" xfId="13363" xr:uid="{1C9D8B8E-38E5-4D56-A018-27C39DC7045A}"/>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926" xr:uid="{37914801-3EBD-4453-84B6-2D69139DB059}"/>
    <cellStyle name="Normal 8 5 2 2 2 3" xfId="11713" xr:uid="{AA50639A-F041-4A32-A8D8-76F9AD6335F3}"/>
    <cellStyle name="Normal 8 5 2 2 3" xfId="5286" xr:uid="{00000000-0005-0000-0000-0000241E0000}"/>
    <cellStyle name="Normal 8 5 2 2 3 2" xfId="13781" xr:uid="{81244F47-6725-4193-91E5-76BB69FD19E8}"/>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2 2 2" xfId="16339" xr:uid="{ABE837C8-8FB6-4B45-B1B0-9307BD82D4BB}"/>
    <cellStyle name="Normal 8 5 2 3 2 3" xfId="12126" xr:uid="{31FAA194-FE24-4A12-B29A-DC4545034501}"/>
    <cellStyle name="Normal 8 5 2 3 3" xfId="5699" xr:uid="{00000000-0005-0000-0000-0000281E0000}"/>
    <cellStyle name="Normal 8 5 2 3 3 2" xfId="14194" xr:uid="{D8843149-6F29-4350-B0E8-9BF489B54D82}"/>
    <cellStyle name="Normal 8 5 2 3 4" xfId="9981" xr:uid="{F873E685-7D79-483E-82F5-955DED010F8D}"/>
    <cellStyle name="Normal 8 5 2 4" xfId="1805" xr:uid="{00000000-0005-0000-0000-0000291E0000}"/>
    <cellStyle name="Normal 8 5 2 4 2" xfId="4035" xr:uid="{00000000-0005-0000-0000-00002A1E0000}"/>
    <cellStyle name="Normal 8 5 2 4 2 2" xfId="8257" xr:uid="{00000000-0005-0000-0000-00002B1E0000}"/>
    <cellStyle name="Normal 8 5 2 4 2 2 2" xfId="16752" xr:uid="{F83F9F64-E701-4B38-B08B-746ACEC6DE6C}"/>
    <cellStyle name="Normal 8 5 2 4 2 3" xfId="12539" xr:uid="{A8745927-C8C3-485F-B31E-2A08D815B8E9}"/>
    <cellStyle name="Normal 8 5 2 4 3" xfId="6112" xr:uid="{00000000-0005-0000-0000-00002C1E0000}"/>
    <cellStyle name="Normal 8 5 2 4 3 2" xfId="14607" xr:uid="{53B102C9-9DCA-47E5-A382-3BD53875A585}"/>
    <cellStyle name="Normal 8 5 2 4 4" xfId="10394" xr:uid="{9303DA54-B06A-4A78-8E82-D5DABB2A4082}"/>
    <cellStyle name="Normal 8 5 2 5" xfId="2219" xr:uid="{00000000-0005-0000-0000-00002D1E0000}"/>
    <cellStyle name="Normal 8 5 2 5 2" xfId="4448" xr:uid="{00000000-0005-0000-0000-00002E1E0000}"/>
    <cellStyle name="Normal 8 5 2 5 2 2" xfId="8670" xr:uid="{00000000-0005-0000-0000-00002F1E0000}"/>
    <cellStyle name="Normal 8 5 2 5 2 2 2" xfId="17165" xr:uid="{EE0E50C4-09E3-4CCA-B721-360461100766}"/>
    <cellStyle name="Normal 8 5 2 5 2 3" xfId="12952" xr:uid="{24DD0A3A-5977-42CD-A2A1-28CD093CCE17}"/>
    <cellStyle name="Normal 8 5 2 5 3" xfId="6525" xr:uid="{00000000-0005-0000-0000-0000301E0000}"/>
    <cellStyle name="Normal 8 5 2 5 3 2" xfId="15020" xr:uid="{F5BC8C9B-1751-4B15-AC95-BD3243B04B86}"/>
    <cellStyle name="Normal 8 5 2 5 4" xfId="10807" xr:uid="{D4E1FFF4-80D2-49C9-A9C5-1DEC96E31422}"/>
    <cellStyle name="Normal 8 5 2 6" xfId="2655" xr:uid="{00000000-0005-0000-0000-0000311E0000}"/>
    <cellStyle name="Normal 8 5 2 6 2" xfId="6938" xr:uid="{00000000-0005-0000-0000-0000321E0000}"/>
    <cellStyle name="Normal 8 5 2 6 2 2" xfId="15433" xr:uid="{06CDE4CB-DB72-493E-9EE6-09AC96467902}"/>
    <cellStyle name="Normal 8 5 2 6 3" xfId="11220" xr:uid="{74B58D51-E83D-42AB-9194-3DC6C8B38225}"/>
    <cellStyle name="Normal 8 5 2 7" xfId="4873" xr:uid="{00000000-0005-0000-0000-0000331E0000}"/>
    <cellStyle name="Normal 8 5 2 7 2" xfId="13368" xr:uid="{42F9CE19-8BA4-47C0-8670-EB171D07E425}"/>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2 2 2" xfId="15925" xr:uid="{A29F998C-7704-45C5-9BFA-A2EF08E3AD1F}"/>
    <cellStyle name="Normal 8 5 3 2 3" xfId="11712" xr:uid="{3B42B90D-987A-4F3E-8A71-1ADBF0B60E71}"/>
    <cellStyle name="Normal 8 5 3 3" xfId="5285" xr:uid="{00000000-0005-0000-0000-0000371E0000}"/>
    <cellStyle name="Normal 8 5 3 3 2" xfId="13780" xr:uid="{1700DFC1-EE53-496C-9997-A1F44BFB0025}"/>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2 2 2" xfId="16338" xr:uid="{22927EB5-7488-4B9F-8627-BE5EB44D723D}"/>
    <cellStyle name="Normal 8 5 4 2 3" xfId="12125" xr:uid="{E26019BF-6A39-448C-BF87-A0AE7BFAE2B2}"/>
    <cellStyle name="Normal 8 5 4 3" xfId="5698" xr:uid="{00000000-0005-0000-0000-00003B1E0000}"/>
    <cellStyle name="Normal 8 5 4 3 2" xfId="14193" xr:uid="{899CFA75-4651-4450-93C1-E3BE93FD187C}"/>
    <cellStyle name="Normal 8 5 4 4" xfId="9980" xr:uid="{6FB7BB69-F95A-4C61-A729-96C19AFF032A}"/>
    <cellStyle name="Normal 8 5 5" xfId="1804" xr:uid="{00000000-0005-0000-0000-00003C1E0000}"/>
    <cellStyle name="Normal 8 5 5 2" xfId="4034" xr:uid="{00000000-0005-0000-0000-00003D1E0000}"/>
    <cellStyle name="Normal 8 5 5 2 2" xfId="8256" xr:uid="{00000000-0005-0000-0000-00003E1E0000}"/>
    <cellStyle name="Normal 8 5 5 2 2 2" xfId="16751" xr:uid="{5CAB6539-E20E-4D6B-A57F-B805086D29C2}"/>
    <cellStyle name="Normal 8 5 5 2 3" xfId="12538" xr:uid="{C0791D9A-777D-4408-A097-7269CA535EE3}"/>
    <cellStyle name="Normal 8 5 5 3" xfId="6111" xr:uid="{00000000-0005-0000-0000-00003F1E0000}"/>
    <cellStyle name="Normal 8 5 5 3 2" xfId="14606" xr:uid="{3CDBF53D-AB3B-4FEC-A1BA-FF2AC0D83FCB}"/>
    <cellStyle name="Normal 8 5 5 4" xfId="10393" xr:uid="{8CAD0711-B3CC-439A-8CAA-2B84DA3F11B1}"/>
    <cellStyle name="Normal 8 5 6" xfId="2218" xr:uid="{00000000-0005-0000-0000-0000401E0000}"/>
    <cellStyle name="Normal 8 5 6 2" xfId="4447" xr:uid="{00000000-0005-0000-0000-0000411E0000}"/>
    <cellStyle name="Normal 8 5 6 2 2" xfId="8669" xr:uid="{00000000-0005-0000-0000-0000421E0000}"/>
    <cellStyle name="Normal 8 5 6 2 2 2" xfId="17164" xr:uid="{B44A27D3-B4AF-42E4-A49B-253952915CB5}"/>
    <cellStyle name="Normal 8 5 6 2 3" xfId="12951" xr:uid="{6FEFAC68-1A1B-47E9-A567-42350983CFB8}"/>
    <cellStyle name="Normal 8 5 6 3" xfId="6524" xr:uid="{00000000-0005-0000-0000-0000431E0000}"/>
    <cellStyle name="Normal 8 5 6 3 2" xfId="15019" xr:uid="{1B5012A2-03AD-44F0-8D85-221E310458AD}"/>
    <cellStyle name="Normal 8 5 6 4" xfId="10806" xr:uid="{4436664E-5C1D-449B-B440-F37B350A02D5}"/>
    <cellStyle name="Normal 8 5 7" xfId="2654" xr:uid="{00000000-0005-0000-0000-0000441E0000}"/>
    <cellStyle name="Normal 8 5 7 2" xfId="6937" xr:uid="{00000000-0005-0000-0000-0000451E0000}"/>
    <cellStyle name="Normal 8 5 7 2 2" xfId="15432" xr:uid="{F4BB43BD-18CA-4F30-8D8E-E08EA01D55B0}"/>
    <cellStyle name="Normal 8 5 7 3" xfId="11219" xr:uid="{8C77A0D5-D946-4607-85B4-77815C8D5E70}"/>
    <cellStyle name="Normal 8 5 8" xfId="4872" xr:uid="{00000000-0005-0000-0000-0000461E0000}"/>
    <cellStyle name="Normal 8 5 8 2" xfId="13367" xr:uid="{F69A94AC-7DA2-4FAD-8402-7C67D034441B}"/>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927" xr:uid="{CD2FCC6D-E3E8-4B0E-B4A5-B5FE69662559}"/>
    <cellStyle name="Normal 8 6 2 2 3" xfId="11714" xr:uid="{8BA2BCA4-050C-4CC3-9ECB-AE7C715DE7A9}"/>
    <cellStyle name="Normal 8 6 2 3" xfId="5287" xr:uid="{00000000-0005-0000-0000-00004B1E0000}"/>
    <cellStyle name="Normal 8 6 2 3 2" xfId="13782" xr:uid="{62D880C3-4D19-418F-A94B-6742C1826E45}"/>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2 2 2" xfId="16340" xr:uid="{3D499E54-8C0A-43D2-B12E-6BD1C96840C2}"/>
    <cellStyle name="Normal 8 6 3 2 3" xfId="12127" xr:uid="{172726E4-2B86-4FF8-9844-E207057B855E}"/>
    <cellStyle name="Normal 8 6 3 3" xfId="5700" xr:uid="{00000000-0005-0000-0000-00004F1E0000}"/>
    <cellStyle name="Normal 8 6 3 3 2" xfId="14195" xr:uid="{862A2A26-145E-4460-8C6D-FA7E9A0213A3}"/>
    <cellStyle name="Normal 8 6 3 4" xfId="9982" xr:uid="{8965292F-2CDD-482C-82AC-4F8DB37E167F}"/>
    <cellStyle name="Normal 8 6 4" xfId="1806" xr:uid="{00000000-0005-0000-0000-0000501E0000}"/>
    <cellStyle name="Normal 8 6 4 2" xfId="4036" xr:uid="{00000000-0005-0000-0000-0000511E0000}"/>
    <cellStyle name="Normal 8 6 4 2 2" xfId="8258" xr:uid="{00000000-0005-0000-0000-0000521E0000}"/>
    <cellStyle name="Normal 8 6 4 2 2 2" xfId="16753" xr:uid="{F9AABB3A-E08B-45F1-87DD-97854654AFD1}"/>
    <cellStyle name="Normal 8 6 4 2 3" xfId="12540" xr:uid="{5F9912D2-6140-44DD-BA10-8785D90824C2}"/>
    <cellStyle name="Normal 8 6 4 3" xfId="6113" xr:uid="{00000000-0005-0000-0000-0000531E0000}"/>
    <cellStyle name="Normal 8 6 4 3 2" xfId="14608" xr:uid="{17D2899F-4DE2-4D7C-8C96-9503CC0EAB39}"/>
    <cellStyle name="Normal 8 6 4 4" xfId="10395" xr:uid="{594BC300-440A-4CAC-BDA9-5A8F3CE05ACE}"/>
    <cellStyle name="Normal 8 6 5" xfId="2220" xr:uid="{00000000-0005-0000-0000-0000541E0000}"/>
    <cellStyle name="Normal 8 6 5 2" xfId="4449" xr:uid="{00000000-0005-0000-0000-0000551E0000}"/>
    <cellStyle name="Normal 8 6 5 2 2" xfId="8671" xr:uid="{00000000-0005-0000-0000-0000561E0000}"/>
    <cellStyle name="Normal 8 6 5 2 2 2" xfId="17166" xr:uid="{6C2AD462-12D2-48BC-8C8C-CE9A7FCEB518}"/>
    <cellStyle name="Normal 8 6 5 2 3" xfId="12953" xr:uid="{5A4205C5-39B5-4132-B3AD-BF1A512E291F}"/>
    <cellStyle name="Normal 8 6 5 3" xfId="6526" xr:uid="{00000000-0005-0000-0000-0000571E0000}"/>
    <cellStyle name="Normal 8 6 5 3 2" xfId="15021" xr:uid="{98CEB1B0-9D69-4962-81E7-EA30F73E91BF}"/>
    <cellStyle name="Normal 8 6 5 4" xfId="10808" xr:uid="{CA77B9F9-2AD9-4196-9C9B-ADB2F11A69C3}"/>
    <cellStyle name="Normal 8 6 6" xfId="2656" xr:uid="{00000000-0005-0000-0000-0000581E0000}"/>
    <cellStyle name="Normal 8 6 6 2" xfId="6939" xr:uid="{00000000-0005-0000-0000-0000591E0000}"/>
    <cellStyle name="Normal 8 6 6 2 2" xfId="15434" xr:uid="{39043D95-E8AE-488A-8FFB-411CFC5FED2A}"/>
    <cellStyle name="Normal 8 6 6 3" xfId="11221" xr:uid="{8EB6E807-5ECB-40EF-953F-7AA879FEF98A}"/>
    <cellStyle name="Normal 8 6 7" xfId="4874" xr:uid="{00000000-0005-0000-0000-00005A1E0000}"/>
    <cellStyle name="Normal 8 6 7 2" xfId="13369" xr:uid="{E5E9C257-7920-4F4E-9280-7FB7DB659E8D}"/>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2 2 2" xfId="15896" xr:uid="{95E55438-A3A8-45BF-A2FF-86F7A3266BFC}"/>
    <cellStyle name="Normal 8 7 2 3" xfId="11683" xr:uid="{060B6520-E70D-420B-BE3C-5AED16C11D95}"/>
    <cellStyle name="Normal 8 7 3" xfId="5256" xr:uid="{00000000-0005-0000-0000-00005E1E0000}"/>
    <cellStyle name="Normal 8 7 3 2" xfId="13751" xr:uid="{56FF9CD4-29DF-4732-87A9-7F48A2A76F3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2 2 2" xfId="16309" xr:uid="{C0A9FF40-2B2F-4ADB-B07F-E4D8D033FEC0}"/>
    <cellStyle name="Normal 8 8 2 3" xfId="12096" xr:uid="{D87042FB-0A2D-43F4-AF21-930FE2FD887A}"/>
    <cellStyle name="Normal 8 8 3" xfId="5669" xr:uid="{00000000-0005-0000-0000-0000621E0000}"/>
    <cellStyle name="Normal 8 8 3 2" xfId="14164" xr:uid="{17452535-5B65-41D5-B120-810B6E4F4560}"/>
    <cellStyle name="Normal 8 8 4" xfId="9951" xr:uid="{FBEA997D-7421-46DD-B878-A0202A0FC2D0}"/>
    <cellStyle name="Normal 8 9" xfId="1775" xr:uid="{00000000-0005-0000-0000-0000631E0000}"/>
    <cellStyle name="Normal 8 9 2" xfId="4005" xr:uid="{00000000-0005-0000-0000-0000641E0000}"/>
    <cellStyle name="Normal 8 9 2 2" xfId="8227" xr:uid="{00000000-0005-0000-0000-0000651E0000}"/>
    <cellStyle name="Normal 8 9 2 2 2" xfId="16722" xr:uid="{434E468A-C007-4458-A752-083D3970BAD1}"/>
    <cellStyle name="Normal 8 9 2 3" xfId="12509" xr:uid="{DEA2F447-693F-4AF2-9CC3-766EAF758B14}"/>
    <cellStyle name="Normal 8 9 3" xfId="6082" xr:uid="{00000000-0005-0000-0000-0000661E0000}"/>
    <cellStyle name="Normal 8 9 3 2" xfId="14577" xr:uid="{F20E31B7-0C68-4764-9E82-820FCF90BEF9}"/>
    <cellStyle name="Normal 8 9 4" xfId="10364" xr:uid="{E4216534-0C69-4D5C-9B80-44112654DE0B}"/>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435" xr:uid="{577A8B75-05FC-4786-A6B5-F3A492E5A435}"/>
    <cellStyle name="Normal 9 2 10 3" xfId="11222" xr:uid="{C309436F-B349-4E80-BFB8-62761355717D}"/>
    <cellStyle name="Normal 9 2 11" xfId="4875" xr:uid="{00000000-0005-0000-0000-00006B1E0000}"/>
    <cellStyle name="Normal 9 2 11 2" xfId="13370" xr:uid="{612F068A-27C4-492D-9D62-DE036A6A1A10}"/>
    <cellStyle name="Normal 9 2 12" xfId="8754" xr:uid="{9024D06A-4C5F-4C89-BCDB-29B8C924FF52}"/>
    <cellStyle name="Normal 9 2 2" xfId="512" xr:uid="{00000000-0005-0000-0000-00006C1E0000}"/>
    <cellStyle name="Normal 9 2 2 10" xfId="4876" xr:uid="{00000000-0005-0000-0000-00006D1E0000}"/>
    <cellStyle name="Normal 9 2 2 10 2" xfId="13371" xr:uid="{7077846F-4359-4803-8701-BAFFA0652293}"/>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932" xr:uid="{A2D7BF2F-C3FE-4B2F-BDBE-DECF0D2B3737}"/>
    <cellStyle name="Normal 9 2 2 2 2 2 2 2 3" xfId="11719" xr:uid="{1ED10066-45EC-4085-ADBD-AF7DCE7A74AB}"/>
    <cellStyle name="Normal 9 2 2 2 2 2 2 3" xfId="5292" xr:uid="{00000000-0005-0000-0000-0000741E0000}"/>
    <cellStyle name="Normal 9 2 2 2 2 2 2 3 2" xfId="13787" xr:uid="{96212F10-60C7-4AEB-A1AE-3ED378526F46}"/>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45" xr:uid="{6547E196-410A-43CF-BC0F-1A83636BC759}"/>
    <cellStyle name="Normal 9 2 2 2 2 2 3 2 3" xfId="12132" xr:uid="{E5E407FC-1E14-45AA-AD13-2B0A8292BA96}"/>
    <cellStyle name="Normal 9 2 2 2 2 2 3 3" xfId="5705" xr:uid="{00000000-0005-0000-0000-0000781E0000}"/>
    <cellStyle name="Normal 9 2 2 2 2 2 3 3 2" xfId="14200" xr:uid="{9008B71F-AA1D-44C2-85E5-EE8B028C5CDB}"/>
    <cellStyle name="Normal 9 2 2 2 2 2 3 4" xfId="9987" xr:uid="{A6E39D68-74B0-4F3E-8AF7-2552AFF75079}"/>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58" xr:uid="{43068E15-495B-46A0-92BE-E88321F78953}"/>
    <cellStyle name="Normal 9 2 2 2 2 2 4 2 3" xfId="12545" xr:uid="{2112066F-BE89-49AC-905A-4A3DF851C186}"/>
    <cellStyle name="Normal 9 2 2 2 2 2 4 3" xfId="6118" xr:uid="{00000000-0005-0000-0000-00007C1E0000}"/>
    <cellStyle name="Normal 9 2 2 2 2 2 4 3 2" xfId="14613" xr:uid="{E5554D71-769E-48A1-8420-736F9D2AB489}"/>
    <cellStyle name="Normal 9 2 2 2 2 2 4 4" xfId="10400" xr:uid="{A8FF8F96-E562-4A74-8E61-D7691A2D3999}"/>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71" xr:uid="{AA4EDCC7-8B86-416A-9893-70E1C82C4D05}"/>
    <cellStyle name="Normal 9 2 2 2 2 2 5 2 3" xfId="12958" xr:uid="{2632DAD1-8B46-46A6-A9D5-525AE3445FDD}"/>
    <cellStyle name="Normal 9 2 2 2 2 2 5 3" xfId="6531" xr:uid="{00000000-0005-0000-0000-0000801E0000}"/>
    <cellStyle name="Normal 9 2 2 2 2 2 5 3 2" xfId="15026" xr:uid="{EAB12684-4572-4340-9790-BA9ACE4C4C5C}"/>
    <cellStyle name="Normal 9 2 2 2 2 2 5 4" xfId="10813" xr:uid="{9D5BD8B3-0D12-4307-B1CE-E090664A0D4D}"/>
    <cellStyle name="Normal 9 2 2 2 2 2 6" xfId="2661" xr:uid="{00000000-0005-0000-0000-0000811E0000}"/>
    <cellStyle name="Normal 9 2 2 2 2 2 6 2" xfId="6944" xr:uid="{00000000-0005-0000-0000-0000821E0000}"/>
    <cellStyle name="Normal 9 2 2 2 2 2 6 2 2" xfId="15439" xr:uid="{3958EC8F-62E2-4932-A409-FA0F6A433AF0}"/>
    <cellStyle name="Normal 9 2 2 2 2 2 6 3" xfId="11226" xr:uid="{C9F06151-D097-4739-B94B-E75D1DFA7B0A}"/>
    <cellStyle name="Normal 9 2 2 2 2 2 7" xfId="4879" xr:uid="{00000000-0005-0000-0000-0000831E0000}"/>
    <cellStyle name="Normal 9 2 2 2 2 2 7 2" xfId="13374" xr:uid="{22DC7712-A9A0-4929-924F-F69D7D6287B9}"/>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931" xr:uid="{93659016-AB85-4A98-A691-95E1699E2876}"/>
    <cellStyle name="Normal 9 2 2 2 2 3 2 3" xfId="11718" xr:uid="{D3C14E9C-B0F6-41C6-BF59-EC1A10AA2042}"/>
    <cellStyle name="Normal 9 2 2 2 2 3 3" xfId="5291" xr:uid="{00000000-0005-0000-0000-0000871E0000}"/>
    <cellStyle name="Normal 9 2 2 2 2 3 3 2" xfId="13786" xr:uid="{6B7DB328-7207-4C72-8B91-56B97A4F59E6}"/>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344" xr:uid="{060BFB8A-3151-47D3-A626-304CFD7F5A8D}"/>
    <cellStyle name="Normal 9 2 2 2 2 4 2 3" xfId="12131" xr:uid="{07A5CFDF-826F-4ACD-8121-27E1CFBA3228}"/>
    <cellStyle name="Normal 9 2 2 2 2 4 3" xfId="5704" xr:uid="{00000000-0005-0000-0000-00008B1E0000}"/>
    <cellStyle name="Normal 9 2 2 2 2 4 3 2" xfId="14199" xr:uid="{6CA07B0B-0AE8-41DE-B0E6-E8C6BC8AEC8A}"/>
    <cellStyle name="Normal 9 2 2 2 2 4 4" xfId="9986" xr:uid="{ECF3389B-017E-49D8-AC71-3E0FC6D496F5}"/>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57" xr:uid="{69B1AC43-1E1C-4410-B213-5184FA46A4DA}"/>
    <cellStyle name="Normal 9 2 2 2 2 5 2 3" xfId="12544" xr:uid="{BC7EE044-816C-4FE7-A5BB-CFA732303255}"/>
    <cellStyle name="Normal 9 2 2 2 2 5 3" xfId="6117" xr:uid="{00000000-0005-0000-0000-00008F1E0000}"/>
    <cellStyle name="Normal 9 2 2 2 2 5 3 2" xfId="14612" xr:uid="{490FBAEB-7C68-4B5A-B706-A3384C48ABE7}"/>
    <cellStyle name="Normal 9 2 2 2 2 5 4" xfId="10399" xr:uid="{84145708-9B4F-4832-9873-54CB7C5D149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70" xr:uid="{D7800684-1297-4FB2-80E4-8A55EA0CE3A5}"/>
    <cellStyle name="Normal 9 2 2 2 2 6 2 3" xfId="12957" xr:uid="{D15167EF-9657-492A-9553-1335A3DDD3EF}"/>
    <cellStyle name="Normal 9 2 2 2 2 6 3" xfId="6530" xr:uid="{00000000-0005-0000-0000-0000931E0000}"/>
    <cellStyle name="Normal 9 2 2 2 2 6 3 2" xfId="15025" xr:uid="{90436D35-DAE8-4FDA-B0D8-F2D703BC6763}"/>
    <cellStyle name="Normal 9 2 2 2 2 6 4" xfId="10812" xr:uid="{69373B3C-5C2E-4154-963A-D2E10CDCF59E}"/>
    <cellStyle name="Normal 9 2 2 2 2 7" xfId="2660" xr:uid="{00000000-0005-0000-0000-0000941E0000}"/>
    <cellStyle name="Normal 9 2 2 2 2 7 2" xfId="6943" xr:uid="{00000000-0005-0000-0000-0000951E0000}"/>
    <cellStyle name="Normal 9 2 2 2 2 7 2 2" xfId="15438" xr:uid="{A1FE41C2-B6E4-42B8-8AB6-14C3DBF15AAA}"/>
    <cellStyle name="Normal 9 2 2 2 2 7 3" xfId="11225" xr:uid="{9E50F3CF-374B-4EB7-9615-9EFD06069FC0}"/>
    <cellStyle name="Normal 9 2 2 2 2 8" xfId="4878" xr:uid="{00000000-0005-0000-0000-0000961E0000}"/>
    <cellStyle name="Normal 9 2 2 2 2 8 2" xfId="13373" xr:uid="{12C59B4E-DA70-42FC-ACC9-F522A9B057DB}"/>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933" xr:uid="{E04C52BF-D5D3-4BF8-A502-BC9286D7E22B}"/>
    <cellStyle name="Normal 9 2 2 2 3 2 2 3" xfId="11720" xr:uid="{105786CD-1072-4C17-BB31-BD69E91230A1}"/>
    <cellStyle name="Normal 9 2 2 2 3 2 3" xfId="5293" xr:uid="{00000000-0005-0000-0000-00009B1E0000}"/>
    <cellStyle name="Normal 9 2 2 2 3 2 3 2" xfId="13788" xr:uid="{995AA705-13A1-4C6D-968C-2B9FCEC5179F}"/>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46" xr:uid="{BB128DF2-07FC-462C-943C-C506FE4ECA68}"/>
    <cellStyle name="Normal 9 2 2 2 3 3 2 3" xfId="12133" xr:uid="{BC6EDA28-2AAE-4B1E-9D60-6292B6C100B1}"/>
    <cellStyle name="Normal 9 2 2 2 3 3 3" xfId="5706" xr:uid="{00000000-0005-0000-0000-00009F1E0000}"/>
    <cellStyle name="Normal 9 2 2 2 3 3 3 2" xfId="14201" xr:uid="{0F7D24D9-E630-4149-AEBD-AC95C61D58AA}"/>
    <cellStyle name="Normal 9 2 2 2 3 3 4" xfId="9988" xr:uid="{E62A4A06-A408-468A-813B-E6B6E5C97901}"/>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59" xr:uid="{0502F12B-4C24-458A-8A39-C67DECAF70AC}"/>
    <cellStyle name="Normal 9 2 2 2 3 4 2 3" xfId="12546" xr:uid="{1AB9E62A-63AA-4826-A0DC-FBAC31CCCF67}"/>
    <cellStyle name="Normal 9 2 2 2 3 4 3" xfId="6119" xr:uid="{00000000-0005-0000-0000-0000A31E0000}"/>
    <cellStyle name="Normal 9 2 2 2 3 4 3 2" xfId="14614" xr:uid="{53FD7C44-7ECA-487C-829A-F6AC026E7111}"/>
    <cellStyle name="Normal 9 2 2 2 3 4 4" xfId="10401" xr:uid="{1AC4CC87-C89F-4185-8ECD-AE3BE644DE5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72" xr:uid="{82F7A6BF-82FB-4A29-8EB7-AE8E0C357B01}"/>
    <cellStyle name="Normal 9 2 2 2 3 5 2 3" xfId="12959" xr:uid="{D6B2B6E4-59F0-4EC1-BAF9-3D9F7F4952C1}"/>
    <cellStyle name="Normal 9 2 2 2 3 5 3" xfId="6532" xr:uid="{00000000-0005-0000-0000-0000A71E0000}"/>
    <cellStyle name="Normal 9 2 2 2 3 5 3 2" xfId="15027" xr:uid="{45D8E682-EBAB-4E6A-BF4D-AB3205FF3578}"/>
    <cellStyle name="Normal 9 2 2 2 3 5 4" xfId="10814" xr:uid="{A3B228B6-4E2D-4FF9-860D-2C24FAC77006}"/>
    <cellStyle name="Normal 9 2 2 2 3 6" xfId="2662" xr:uid="{00000000-0005-0000-0000-0000A81E0000}"/>
    <cellStyle name="Normal 9 2 2 2 3 6 2" xfId="6945" xr:uid="{00000000-0005-0000-0000-0000A91E0000}"/>
    <cellStyle name="Normal 9 2 2 2 3 6 2 2" xfId="15440" xr:uid="{FE558D06-1F30-4FD2-88E9-4DDA9BE7A9C4}"/>
    <cellStyle name="Normal 9 2 2 2 3 6 3" xfId="11227" xr:uid="{027E5B94-5C2F-44F5-BA72-CDBE0701CD0E}"/>
    <cellStyle name="Normal 9 2 2 2 3 7" xfId="4880" xr:uid="{00000000-0005-0000-0000-0000AA1E0000}"/>
    <cellStyle name="Normal 9 2 2 2 3 7 2" xfId="13375" xr:uid="{B1E92970-1F91-4F45-85A9-6A4D4F8865BD}"/>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930" xr:uid="{4161C4EB-C6C9-45B0-BE27-8AE8266C2B4E}"/>
    <cellStyle name="Normal 9 2 2 2 4 2 3" xfId="11717" xr:uid="{68CE1A8A-AE4D-4117-802E-ACD201ABB046}"/>
    <cellStyle name="Normal 9 2 2 2 4 3" xfId="5290" xr:uid="{00000000-0005-0000-0000-0000AE1E0000}"/>
    <cellStyle name="Normal 9 2 2 2 4 3 2" xfId="13785" xr:uid="{2692FD00-76AC-46AA-896A-62B53AAAB25E}"/>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343" xr:uid="{53B9800B-B2EC-4B05-AA8D-CD19059D445E}"/>
    <cellStyle name="Normal 9 2 2 2 5 2 3" xfId="12130" xr:uid="{CA8355C0-209B-4DEC-BBA9-DA4A5389ACAF}"/>
    <cellStyle name="Normal 9 2 2 2 5 3" xfId="5703" xr:uid="{00000000-0005-0000-0000-0000B21E0000}"/>
    <cellStyle name="Normal 9 2 2 2 5 3 2" xfId="14198" xr:uid="{D9DFEFD4-C085-4879-8B9C-AC32A536E5CA}"/>
    <cellStyle name="Normal 9 2 2 2 5 4" xfId="9985" xr:uid="{5C670EE0-ACA9-4821-A2F8-996AEB1D8093}"/>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56" xr:uid="{718F9E3F-1F52-4079-B44F-17A1B022250B}"/>
    <cellStyle name="Normal 9 2 2 2 6 2 3" xfId="12543" xr:uid="{4AEA2F65-6311-4822-8FED-BC0CCFEDDFFF}"/>
    <cellStyle name="Normal 9 2 2 2 6 3" xfId="6116" xr:uid="{00000000-0005-0000-0000-0000B61E0000}"/>
    <cellStyle name="Normal 9 2 2 2 6 3 2" xfId="14611" xr:uid="{A611C9D6-1922-420F-A7AE-CF82665C6BBB}"/>
    <cellStyle name="Normal 9 2 2 2 6 4" xfId="10398" xr:uid="{891D6250-28E7-4E0F-B43A-A3C86D59BA46}"/>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69" xr:uid="{BE815B79-2CB0-46CA-8306-487E595584E9}"/>
    <cellStyle name="Normal 9 2 2 2 7 2 3" xfId="12956" xr:uid="{AE82F7F1-4625-48F8-9A2F-24AC147836B9}"/>
    <cellStyle name="Normal 9 2 2 2 7 3" xfId="6529" xr:uid="{00000000-0005-0000-0000-0000BA1E0000}"/>
    <cellStyle name="Normal 9 2 2 2 7 3 2" xfId="15024" xr:uid="{632BC4E2-E660-4C43-9C7A-011F1ACA21AA}"/>
    <cellStyle name="Normal 9 2 2 2 7 4" xfId="10811" xr:uid="{1E1DF175-C80A-432F-9304-7687DE7FC8FC}"/>
    <cellStyle name="Normal 9 2 2 2 8" xfId="2659" xr:uid="{00000000-0005-0000-0000-0000BB1E0000}"/>
    <cellStyle name="Normal 9 2 2 2 8 2" xfId="6942" xr:uid="{00000000-0005-0000-0000-0000BC1E0000}"/>
    <cellStyle name="Normal 9 2 2 2 8 2 2" xfId="15437" xr:uid="{4E33EA8F-1287-4A13-A269-7009C9B2FFB3}"/>
    <cellStyle name="Normal 9 2 2 2 8 3" xfId="11224" xr:uid="{7B62BC31-8638-4017-BE46-F629325D50AD}"/>
    <cellStyle name="Normal 9 2 2 2 9" xfId="4877" xr:uid="{00000000-0005-0000-0000-0000BD1E0000}"/>
    <cellStyle name="Normal 9 2 2 2 9 2" xfId="13372" xr:uid="{4702F61F-38D7-4FFC-B453-5FAFD4E92874}"/>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935" xr:uid="{3D7E435A-80F9-4DEA-9A07-64EB591C376A}"/>
    <cellStyle name="Normal 9 2 2 3 2 2 2 3" xfId="11722" xr:uid="{106F9C82-3E8A-4031-9234-AECB0DFD8636}"/>
    <cellStyle name="Normal 9 2 2 3 2 2 3" xfId="5295" xr:uid="{00000000-0005-0000-0000-0000C31E0000}"/>
    <cellStyle name="Normal 9 2 2 3 2 2 3 2" xfId="13790" xr:uid="{3BB4D875-82D7-4F11-917C-5203DC72FC5A}"/>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48" xr:uid="{55CF2159-7E7B-4267-B3F7-655246500C31}"/>
    <cellStyle name="Normal 9 2 2 3 2 3 2 3" xfId="12135" xr:uid="{42D299CE-2FDB-4276-A43C-49C28948191A}"/>
    <cellStyle name="Normal 9 2 2 3 2 3 3" xfId="5708" xr:uid="{00000000-0005-0000-0000-0000C71E0000}"/>
    <cellStyle name="Normal 9 2 2 3 2 3 3 2" xfId="14203" xr:uid="{BE908FCA-9AB4-4283-8562-4DE7CEA1F5DD}"/>
    <cellStyle name="Normal 9 2 2 3 2 3 4" xfId="9990" xr:uid="{9EEF5BD6-C0B1-4221-BAE6-BF59D8050676}"/>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61" xr:uid="{2751C54F-9E81-4D56-B1EB-EDC5DA7152B4}"/>
    <cellStyle name="Normal 9 2 2 3 2 4 2 3" xfId="12548" xr:uid="{23E9FEFE-8EC8-450B-B79E-BC731BDF7907}"/>
    <cellStyle name="Normal 9 2 2 3 2 4 3" xfId="6121" xr:uid="{00000000-0005-0000-0000-0000CB1E0000}"/>
    <cellStyle name="Normal 9 2 2 3 2 4 3 2" xfId="14616" xr:uid="{4BC567DA-6AF6-4D56-A14E-63A2F8D86A65}"/>
    <cellStyle name="Normal 9 2 2 3 2 4 4" xfId="10403" xr:uid="{82A57591-921B-47B8-B6A3-310D89B8DC28}"/>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74" xr:uid="{0CD1A868-5F39-46A8-9EC3-EAC2AF3AC16A}"/>
    <cellStyle name="Normal 9 2 2 3 2 5 2 3" xfId="12961" xr:uid="{42E75591-99C0-4419-8D0E-0186EA6CB867}"/>
    <cellStyle name="Normal 9 2 2 3 2 5 3" xfId="6534" xr:uid="{00000000-0005-0000-0000-0000CF1E0000}"/>
    <cellStyle name="Normal 9 2 2 3 2 5 3 2" xfId="15029" xr:uid="{6E046F3B-EC4C-4897-9150-9B04309BF434}"/>
    <cellStyle name="Normal 9 2 2 3 2 5 4" xfId="10816" xr:uid="{68115A1C-85C6-49FE-B5AF-B3BA1B2FA648}"/>
    <cellStyle name="Normal 9 2 2 3 2 6" xfId="2664" xr:uid="{00000000-0005-0000-0000-0000D01E0000}"/>
    <cellStyle name="Normal 9 2 2 3 2 6 2" xfId="6947" xr:uid="{00000000-0005-0000-0000-0000D11E0000}"/>
    <cellStyle name="Normal 9 2 2 3 2 6 2 2" xfId="15442" xr:uid="{44AB9D81-1152-4404-8EA8-8ADF862CEADD}"/>
    <cellStyle name="Normal 9 2 2 3 2 6 3" xfId="11229" xr:uid="{2AE54910-C9EE-48D4-BF05-E9F4384CFAB9}"/>
    <cellStyle name="Normal 9 2 2 3 2 7" xfId="4882" xr:uid="{00000000-0005-0000-0000-0000D21E0000}"/>
    <cellStyle name="Normal 9 2 2 3 2 7 2" xfId="13377" xr:uid="{17D5824A-9422-4657-A4E6-14E127CBB2EC}"/>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934" xr:uid="{138B02D9-54F5-43F0-8E58-042E77A159F5}"/>
    <cellStyle name="Normal 9 2 2 3 3 2 3" xfId="11721" xr:uid="{5E9FDBB9-920D-469F-B2C4-8D8089770B8D}"/>
    <cellStyle name="Normal 9 2 2 3 3 3" xfId="5294" xr:uid="{00000000-0005-0000-0000-0000D61E0000}"/>
    <cellStyle name="Normal 9 2 2 3 3 3 2" xfId="13789" xr:uid="{4EBCBF99-3025-4AE9-B6D5-F8C2DB22135A}"/>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47" xr:uid="{2D10411B-E868-4A96-BC00-83CF274B7171}"/>
    <cellStyle name="Normal 9 2 2 3 4 2 3" xfId="12134" xr:uid="{6970361A-8A0D-4520-AA02-2F659EF46552}"/>
    <cellStyle name="Normal 9 2 2 3 4 3" xfId="5707" xr:uid="{00000000-0005-0000-0000-0000DA1E0000}"/>
    <cellStyle name="Normal 9 2 2 3 4 3 2" xfId="14202" xr:uid="{1490620A-711A-4AEE-B8AE-4651D6476D68}"/>
    <cellStyle name="Normal 9 2 2 3 4 4" xfId="9989" xr:uid="{4BB3024B-5B45-4B54-995C-ED1A05F6E6B4}"/>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60" xr:uid="{63072C3D-6AB1-4297-AEDC-91340DFE77C6}"/>
    <cellStyle name="Normal 9 2 2 3 5 2 3" xfId="12547" xr:uid="{9D0914A0-2795-4E87-AC51-008FA4A9301C}"/>
    <cellStyle name="Normal 9 2 2 3 5 3" xfId="6120" xr:uid="{00000000-0005-0000-0000-0000DE1E0000}"/>
    <cellStyle name="Normal 9 2 2 3 5 3 2" xfId="14615" xr:uid="{AE8AB36B-9F3E-451D-B6F2-839D6E51A2D9}"/>
    <cellStyle name="Normal 9 2 2 3 5 4" xfId="10402" xr:uid="{49984735-7C8E-41B4-8047-2FDC7196AB56}"/>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73" xr:uid="{33A55210-ECF2-47FD-8E7D-AB5CED2927A5}"/>
    <cellStyle name="Normal 9 2 2 3 6 2 3" xfId="12960" xr:uid="{C1D3B658-AA5D-43E8-AD6C-24852EFA2089}"/>
    <cellStyle name="Normal 9 2 2 3 6 3" xfId="6533" xr:uid="{00000000-0005-0000-0000-0000E21E0000}"/>
    <cellStyle name="Normal 9 2 2 3 6 3 2" xfId="15028" xr:uid="{F3CA5D26-C572-4238-9499-7AD5F95F84C9}"/>
    <cellStyle name="Normal 9 2 2 3 6 4" xfId="10815" xr:uid="{66E4D64E-41FB-4D0E-82AB-3A11042FDB4F}"/>
    <cellStyle name="Normal 9 2 2 3 7" xfId="2663" xr:uid="{00000000-0005-0000-0000-0000E31E0000}"/>
    <cellStyle name="Normal 9 2 2 3 7 2" xfId="6946" xr:uid="{00000000-0005-0000-0000-0000E41E0000}"/>
    <cellStyle name="Normal 9 2 2 3 7 2 2" xfId="15441" xr:uid="{7A9BF4AA-A5F0-4FFE-A371-94ED899B584B}"/>
    <cellStyle name="Normal 9 2 2 3 7 3" xfId="11228" xr:uid="{A32DCF24-7EF5-4A76-B7F1-9E963B98ACB4}"/>
    <cellStyle name="Normal 9 2 2 3 8" xfId="4881" xr:uid="{00000000-0005-0000-0000-0000E51E0000}"/>
    <cellStyle name="Normal 9 2 2 3 8 2" xfId="13376" xr:uid="{4E23017F-4B66-4AF1-915E-DB4EB4E05989}"/>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936" xr:uid="{BB25B4FD-C0A8-4E48-82F8-469C6ADAD491}"/>
    <cellStyle name="Normal 9 2 2 4 2 2 3" xfId="11723" xr:uid="{35264B10-5A75-4874-AA76-81F38141413B}"/>
    <cellStyle name="Normal 9 2 2 4 2 3" xfId="5296" xr:uid="{00000000-0005-0000-0000-0000EA1E0000}"/>
    <cellStyle name="Normal 9 2 2 4 2 3 2" xfId="13791" xr:uid="{3B19E606-62E8-421F-8C16-BED5E0B6F6B3}"/>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49" xr:uid="{1B8CCDDD-6BCA-4C0A-AC23-34D15C6EB62E}"/>
    <cellStyle name="Normal 9 2 2 4 3 2 3" xfId="12136" xr:uid="{C1074E8C-93AD-4271-B73A-9371EA899665}"/>
    <cellStyle name="Normal 9 2 2 4 3 3" xfId="5709" xr:uid="{00000000-0005-0000-0000-0000EE1E0000}"/>
    <cellStyle name="Normal 9 2 2 4 3 3 2" xfId="14204" xr:uid="{9380F8F5-F9E8-4CB3-8470-1CE3E28066E3}"/>
    <cellStyle name="Normal 9 2 2 4 3 4" xfId="9991" xr:uid="{CB3FFFDC-1499-46CE-AD6A-804893DF425B}"/>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62" xr:uid="{41CF816C-76F7-4BF6-B87D-55503D9E34D2}"/>
    <cellStyle name="Normal 9 2 2 4 4 2 3" xfId="12549" xr:uid="{F2E2C327-3DE3-421A-A4D6-27D991C9E66A}"/>
    <cellStyle name="Normal 9 2 2 4 4 3" xfId="6122" xr:uid="{00000000-0005-0000-0000-0000F21E0000}"/>
    <cellStyle name="Normal 9 2 2 4 4 3 2" xfId="14617" xr:uid="{254BAA22-4964-44D7-B933-7400A73F0F32}"/>
    <cellStyle name="Normal 9 2 2 4 4 4" xfId="10404" xr:uid="{1E262870-B22F-48B2-B01F-A954F65C98EB}"/>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75" xr:uid="{F8A3E2FE-4653-4E73-81B1-8F019C89E0AA}"/>
    <cellStyle name="Normal 9 2 2 4 5 2 3" xfId="12962" xr:uid="{747715A7-DA0D-40E7-B08D-FDD6FC862E4C}"/>
    <cellStyle name="Normal 9 2 2 4 5 3" xfId="6535" xr:uid="{00000000-0005-0000-0000-0000F61E0000}"/>
    <cellStyle name="Normal 9 2 2 4 5 3 2" xfId="15030" xr:uid="{D392CBDB-87F6-4AAF-85FC-554E6272DC2F}"/>
    <cellStyle name="Normal 9 2 2 4 5 4" xfId="10817" xr:uid="{0D1CBAD5-F52B-4CBC-AF2A-2BC0CA114FC1}"/>
    <cellStyle name="Normal 9 2 2 4 6" xfId="2665" xr:uid="{00000000-0005-0000-0000-0000F71E0000}"/>
    <cellStyle name="Normal 9 2 2 4 6 2" xfId="6948" xr:uid="{00000000-0005-0000-0000-0000F81E0000}"/>
    <cellStyle name="Normal 9 2 2 4 6 2 2" xfId="15443" xr:uid="{EAA32B06-35FD-4D1E-B0AA-8857E6646B96}"/>
    <cellStyle name="Normal 9 2 2 4 6 3" xfId="11230" xr:uid="{AE4DB920-0FFA-4E4B-B856-E694424FDECA}"/>
    <cellStyle name="Normal 9 2 2 4 7" xfId="4883" xr:uid="{00000000-0005-0000-0000-0000F91E0000}"/>
    <cellStyle name="Normal 9 2 2 4 7 2" xfId="13378" xr:uid="{72602567-B141-4BBC-8BCF-3FEC050882C2}"/>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2 2 2" xfId="15929" xr:uid="{795BB260-FE78-44AF-B480-7C3E63228D98}"/>
    <cellStyle name="Normal 9 2 2 5 2 3" xfId="11716" xr:uid="{030FC3C2-325D-4F91-B497-3668641DFCE3}"/>
    <cellStyle name="Normal 9 2 2 5 3" xfId="5289" xr:uid="{00000000-0005-0000-0000-0000FD1E0000}"/>
    <cellStyle name="Normal 9 2 2 5 3 2" xfId="13784" xr:uid="{32FFA8F4-860D-48FA-A5B5-DED6F04EC2DF}"/>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2 2 2" xfId="16342" xr:uid="{3CA14DE2-C1A3-4456-B2DA-328F64828F0C}"/>
    <cellStyle name="Normal 9 2 2 6 2 3" xfId="12129" xr:uid="{877A5A47-4148-460D-9A3B-8668F4FB7E92}"/>
    <cellStyle name="Normal 9 2 2 6 3" xfId="5702" xr:uid="{00000000-0005-0000-0000-0000011F0000}"/>
    <cellStyle name="Normal 9 2 2 6 3 2" xfId="14197" xr:uid="{1A5E36F2-CBB3-48A7-9AF8-913763A3C505}"/>
    <cellStyle name="Normal 9 2 2 6 4" xfId="9984" xr:uid="{84210B45-E085-4129-B643-C7022F6547A0}"/>
    <cellStyle name="Normal 9 2 2 7" xfId="1808" xr:uid="{00000000-0005-0000-0000-0000021F0000}"/>
    <cellStyle name="Normal 9 2 2 7 2" xfId="4038" xr:uid="{00000000-0005-0000-0000-0000031F0000}"/>
    <cellStyle name="Normal 9 2 2 7 2 2" xfId="8260" xr:uid="{00000000-0005-0000-0000-0000041F0000}"/>
    <cellStyle name="Normal 9 2 2 7 2 2 2" xfId="16755" xr:uid="{015B01B7-3179-4074-B694-6354CAEBBBEC}"/>
    <cellStyle name="Normal 9 2 2 7 2 3" xfId="12542" xr:uid="{62EA6A3A-A9FD-4137-990B-C4681FB07A74}"/>
    <cellStyle name="Normal 9 2 2 7 3" xfId="6115" xr:uid="{00000000-0005-0000-0000-0000051F0000}"/>
    <cellStyle name="Normal 9 2 2 7 3 2" xfId="14610" xr:uid="{99FF61BE-0C9F-4C5D-8B48-3A30910FC831}"/>
    <cellStyle name="Normal 9 2 2 7 4" xfId="10397" xr:uid="{EA3B0D81-7BAD-4136-89EC-93F878D88D55}"/>
    <cellStyle name="Normal 9 2 2 8" xfId="2222" xr:uid="{00000000-0005-0000-0000-0000061F0000}"/>
    <cellStyle name="Normal 9 2 2 8 2" xfId="4451" xr:uid="{00000000-0005-0000-0000-0000071F0000}"/>
    <cellStyle name="Normal 9 2 2 8 2 2" xfId="8673" xr:uid="{00000000-0005-0000-0000-0000081F0000}"/>
    <cellStyle name="Normal 9 2 2 8 2 2 2" xfId="17168" xr:uid="{AFDD1C7B-6BC8-40BC-8807-D175947B9C96}"/>
    <cellStyle name="Normal 9 2 2 8 2 3" xfId="12955" xr:uid="{211C96B3-22C2-4C2D-81AA-976BC8DEAB0F}"/>
    <cellStyle name="Normal 9 2 2 8 3" xfId="6528" xr:uid="{00000000-0005-0000-0000-0000091F0000}"/>
    <cellStyle name="Normal 9 2 2 8 3 2" xfId="15023" xr:uid="{001C8E87-DAC8-4F6B-8B98-9241C042225F}"/>
    <cellStyle name="Normal 9 2 2 8 4" xfId="10810" xr:uid="{08B178DB-C469-4F70-8F56-B643417A7FC9}"/>
    <cellStyle name="Normal 9 2 2 9" xfId="2658" xr:uid="{00000000-0005-0000-0000-00000A1F0000}"/>
    <cellStyle name="Normal 9 2 2 9 2" xfId="6941" xr:uid="{00000000-0005-0000-0000-00000B1F0000}"/>
    <cellStyle name="Normal 9 2 2 9 2 2" xfId="15436" xr:uid="{4434ADEA-E974-41D6-8E45-F363821CEBB5}"/>
    <cellStyle name="Normal 9 2 2 9 3" xfId="11223" xr:uid="{4CB4E9AC-F007-4209-ADD6-1B270BC486AD}"/>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939" xr:uid="{B7BFB153-FFF6-4435-9494-36CAE1DC5F9E}"/>
    <cellStyle name="Normal 9 2 3 2 2 2 2 3" xfId="11726" xr:uid="{D66EA5F0-EF24-4ABD-94BE-8307E190EBDA}"/>
    <cellStyle name="Normal 9 2 3 2 2 2 3" xfId="5299" xr:uid="{00000000-0005-0000-0000-0000121F0000}"/>
    <cellStyle name="Normal 9 2 3 2 2 2 3 2" xfId="13794" xr:uid="{72B71EB1-BD8A-4B03-815D-75A3E9D70934}"/>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52" xr:uid="{46053E20-25FA-42F5-8B51-CC28DAD8CC24}"/>
    <cellStyle name="Normal 9 2 3 2 2 3 2 3" xfId="12139" xr:uid="{DFFB25B3-825A-443B-B0DE-04C3AB25A63E}"/>
    <cellStyle name="Normal 9 2 3 2 2 3 3" xfId="5712" xr:uid="{00000000-0005-0000-0000-0000161F0000}"/>
    <cellStyle name="Normal 9 2 3 2 2 3 3 2" xfId="14207" xr:uid="{D664382D-9D2F-42FE-9314-2B7F77ED7D72}"/>
    <cellStyle name="Normal 9 2 3 2 2 3 4" xfId="9994" xr:uid="{EB6BDD50-0C59-4EE1-8C1F-BD3D140543B3}"/>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65" xr:uid="{AD4ECC06-6B2A-4855-8DAB-FC80EEB67967}"/>
    <cellStyle name="Normal 9 2 3 2 2 4 2 3" xfId="12552" xr:uid="{8EFD13D0-857D-413E-9FB9-CD36FD6622B6}"/>
    <cellStyle name="Normal 9 2 3 2 2 4 3" xfId="6125" xr:uid="{00000000-0005-0000-0000-00001A1F0000}"/>
    <cellStyle name="Normal 9 2 3 2 2 4 3 2" xfId="14620" xr:uid="{F28EB593-1C7B-4184-BAFF-15135F4DEF21}"/>
    <cellStyle name="Normal 9 2 3 2 2 4 4" xfId="10407" xr:uid="{0066C0D3-A450-4D31-B2D2-6142271B9DB6}"/>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78" xr:uid="{59972EB6-A25F-4E70-933A-765A17CE451D}"/>
    <cellStyle name="Normal 9 2 3 2 2 5 2 3" xfId="12965" xr:uid="{BC834AD6-F6F2-4A3C-9E06-6B01CF212513}"/>
    <cellStyle name="Normal 9 2 3 2 2 5 3" xfId="6538" xr:uid="{00000000-0005-0000-0000-00001E1F0000}"/>
    <cellStyle name="Normal 9 2 3 2 2 5 3 2" xfId="15033" xr:uid="{77ED6819-14EA-4D81-A03B-2EFA0B0CEDDF}"/>
    <cellStyle name="Normal 9 2 3 2 2 5 4" xfId="10820" xr:uid="{83EE27E8-D613-401A-A573-5AB89948B1E8}"/>
    <cellStyle name="Normal 9 2 3 2 2 6" xfId="2668" xr:uid="{00000000-0005-0000-0000-00001F1F0000}"/>
    <cellStyle name="Normal 9 2 3 2 2 6 2" xfId="6951" xr:uid="{00000000-0005-0000-0000-0000201F0000}"/>
    <cellStyle name="Normal 9 2 3 2 2 6 2 2" xfId="15446" xr:uid="{2907E02E-CD83-446C-B891-6C85964F3C16}"/>
    <cellStyle name="Normal 9 2 3 2 2 6 3" xfId="11233" xr:uid="{0993A77D-0AF1-4EC3-8E3A-4F8945D17445}"/>
    <cellStyle name="Normal 9 2 3 2 2 7" xfId="4886" xr:uid="{00000000-0005-0000-0000-0000211F0000}"/>
    <cellStyle name="Normal 9 2 3 2 2 7 2" xfId="13381" xr:uid="{18453126-CF16-4D3B-B9B6-08D2EA69467B}"/>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938" xr:uid="{D22E5A23-C914-413C-97FD-4C801EF8A945}"/>
    <cellStyle name="Normal 9 2 3 2 3 2 3" xfId="11725" xr:uid="{DC275C87-55C4-49FB-A885-0591017658CD}"/>
    <cellStyle name="Normal 9 2 3 2 3 3" xfId="5298" xr:uid="{00000000-0005-0000-0000-0000251F0000}"/>
    <cellStyle name="Normal 9 2 3 2 3 3 2" xfId="13793" xr:uid="{D30D2195-D7D2-416F-ACE2-2E158EF90253}"/>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51" xr:uid="{7EF0541B-6383-4345-8C31-44727BDF9D38}"/>
    <cellStyle name="Normal 9 2 3 2 4 2 3" xfId="12138" xr:uid="{C1236E44-9BBC-4320-9406-A4C8F5F87ADB}"/>
    <cellStyle name="Normal 9 2 3 2 4 3" xfId="5711" xr:uid="{00000000-0005-0000-0000-0000291F0000}"/>
    <cellStyle name="Normal 9 2 3 2 4 3 2" xfId="14206" xr:uid="{71914C6A-B6F5-4C48-A61B-1082E70140C4}"/>
    <cellStyle name="Normal 9 2 3 2 4 4" xfId="9993" xr:uid="{1FD2E161-6A17-477F-9E8C-FB20D31DA77C}"/>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64" xr:uid="{0E79AEF3-FA53-449A-81BF-6E8C246CCC3C}"/>
    <cellStyle name="Normal 9 2 3 2 5 2 3" xfId="12551" xr:uid="{788E5F3F-8E45-4F8C-AD7E-DF76686D4372}"/>
    <cellStyle name="Normal 9 2 3 2 5 3" xfId="6124" xr:uid="{00000000-0005-0000-0000-00002D1F0000}"/>
    <cellStyle name="Normal 9 2 3 2 5 3 2" xfId="14619" xr:uid="{A11B6995-A6B8-4ABA-83E6-76E49D02FC8A}"/>
    <cellStyle name="Normal 9 2 3 2 5 4" xfId="10406" xr:uid="{1D6F0EBD-A336-4E73-A2FA-6DACF5B3ADF4}"/>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77" xr:uid="{D25D1E82-1FBE-4A3C-9860-EB355850137B}"/>
    <cellStyle name="Normal 9 2 3 2 6 2 3" xfId="12964" xr:uid="{77578185-FB9D-44C7-B39B-B0C1BECF88BD}"/>
    <cellStyle name="Normal 9 2 3 2 6 3" xfId="6537" xr:uid="{00000000-0005-0000-0000-0000311F0000}"/>
    <cellStyle name="Normal 9 2 3 2 6 3 2" xfId="15032" xr:uid="{ED54F463-F896-4234-B34C-D6E9554B24EF}"/>
    <cellStyle name="Normal 9 2 3 2 6 4" xfId="10819" xr:uid="{FD0AA33C-301B-48CC-BB56-AAA8D45869ED}"/>
    <cellStyle name="Normal 9 2 3 2 7" xfId="2667" xr:uid="{00000000-0005-0000-0000-0000321F0000}"/>
    <cellStyle name="Normal 9 2 3 2 7 2" xfId="6950" xr:uid="{00000000-0005-0000-0000-0000331F0000}"/>
    <cellStyle name="Normal 9 2 3 2 7 2 2" xfId="15445" xr:uid="{D5723307-8BEC-44D1-8390-F7ED2E1DF3BC}"/>
    <cellStyle name="Normal 9 2 3 2 7 3" xfId="11232" xr:uid="{EF71F143-701B-48FA-8569-B4FDE677EA26}"/>
    <cellStyle name="Normal 9 2 3 2 8" xfId="4885" xr:uid="{00000000-0005-0000-0000-0000341F0000}"/>
    <cellStyle name="Normal 9 2 3 2 8 2" xfId="13380" xr:uid="{C7BFB1D9-49C4-47E5-91B2-00EAEC9E0927}"/>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940" xr:uid="{D8FE5F8D-ABA6-42D3-8CA1-3E67ABC02DB0}"/>
    <cellStyle name="Normal 9 2 3 3 2 2 3" xfId="11727" xr:uid="{3753D0FF-D805-4EAD-B266-8C874E3F0B3A}"/>
    <cellStyle name="Normal 9 2 3 3 2 3" xfId="5300" xr:uid="{00000000-0005-0000-0000-0000391F0000}"/>
    <cellStyle name="Normal 9 2 3 3 2 3 2" xfId="13795" xr:uid="{2FDBF173-0A99-41A5-B6E8-F4B24275FA1D}"/>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53" xr:uid="{B98E54C1-4039-4423-B7BA-B65D0700933C}"/>
    <cellStyle name="Normal 9 2 3 3 3 2 3" xfId="12140" xr:uid="{9E762B39-7F71-4BA9-946D-B8E23145355F}"/>
    <cellStyle name="Normal 9 2 3 3 3 3" xfId="5713" xr:uid="{00000000-0005-0000-0000-00003D1F0000}"/>
    <cellStyle name="Normal 9 2 3 3 3 3 2" xfId="14208" xr:uid="{8DF5F273-F5CC-4F0F-B5FB-F099BBD1C02C}"/>
    <cellStyle name="Normal 9 2 3 3 3 4" xfId="9995" xr:uid="{B96A0B2F-5FA6-4E75-A1A9-86816D9F489A}"/>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66" xr:uid="{3906E947-A45C-4E62-B54D-CAE495749B9B}"/>
    <cellStyle name="Normal 9 2 3 3 4 2 3" xfId="12553" xr:uid="{EA62379A-C0AC-4CF4-8D3E-3CAE01FBE10A}"/>
    <cellStyle name="Normal 9 2 3 3 4 3" xfId="6126" xr:uid="{00000000-0005-0000-0000-0000411F0000}"/>
    <cellStyle name="Normal 9 2 3 3 4 3 2" xfId="14621" xr:uid="{B3F26F99-F21C-435C-8ED2-B98CDC27DD6D}"/>
    <cellStyle name="Normal 9 2 3 3 4 4" xfId="10408" xr:uid="{B2E208C6-BA75-4ADD-8E8E-9751C5E9AF33}"/>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79" xr:uid="{00D4D864-CA92-4B9B-A6BB-C9434B6CDD9D}"/>
    <cellStyle name="Normal 9 2 3 3 5 2 3" xfId="12966" xr:uid="{E1A2BB69-0453-45BE-A996-967079134CE2}"/>
    <cellStyle name="Normal 9 2 3 3 5 3" xfId="6539" xr:uid="{00000000-0005-0000-0000-0000451F0000}"/>
    <cellStyle name="Normal 9 2 3 3 5 3 2" xfId="15034" xr:uid="{858CCD21-0AEF-42D1-ADCB-67C3F1892BCE}"/>
    <cellStyle name="Normal 9 2 3 3 5 4" xfId="10821" xr:uid="{A9803152-A351-44D6-BAEE-67687CFD6AA8}"/>
    <cellStyle name="Normal 9 2 3 3 6" xfId="2669" xr:uid="{00000000-0005-0000-0000-0000461F0000}"/>
    <cellStyle name="Normal 9 2 3 3 6 2" xfId="6952" xr:uid="{00000000-0005-0000-0000-0000471F0000}"/>
    <cellStyle name="Normal 9 2 3 3 6 2 2" xfId="15447" xr:uid="{AD79ED78-141F-4420-936D-A4565FBAE548}"/>
    <cellStyle name="Normal 9 2 3 3 6 3" xfId="11234" xr:uid="{8CE9E4D3-901C-49F0-A22C-31E6F6E5DE75}"/>
    <cellStyle name="Normal 9 2 3 3 7" xfId="4887" xr:uid="{00000000-0005-0000-0000-0000481F0000}"/>
    <cellStyle name="Normal 9 2 3 3 7 2" xfId="13382" xr:uid="{08E08F34-8A44-40E5-9B21-5EAE3599F702}"/>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2 2 2" xfId="15937" xr:uid="{8109F1A7-77B9-47C9-9882-26986B107CF4}"/>
    <cellStyle name="Normal 9 2 3 4 2 3" xfId="11724" xr:uid="{8E9D11FB-4792-483F-A203-09E9FC2E6DA4}"/>
    <cellStyle name="Normal 9 2 3 4 3" xfId="5297" xr:uid="{00000000-0005-0000-0000-00004C1F0000}"/>
    <cellStyle name="Normal 9 2 3 4 3 2" xfId="13792" xr:uid="{4695CC73-250B-40D0-88C5-9DC2A64787FF}"/>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2 2 2" xfId="16350" xr:uid="{F875DE05-1B5B-436A-A88A-577B1F4F00F9}"/>
    <cellStyle name="Normal 9 2 3 5 2 3" xfId="12137" xr:uid="{7D9DC181-420E-40D2-BD88-7DDEA18E3EC1}"/>
    <cellStyle name="Normal 9 2 3 5 3" xfId="5710" xr:uid="{00000000-0005-0000-0000-0000501F0000}"/>
    <cellStyle name="Normal 9 2 3 5 3 2" xfId="14205" xr:uid="{0640149D-2A21-435B-B516-DCE88A89589E}"/>
    <cellStyle name="Normal 9 2 3 5 4" xfId="9992" xr:uid="{8EF6A1C9-5CD1-4746-A9CE-48E31031C775}"/>
    <cellStyle name="Normal 9 2 3 6" xfId="1816" xr:uid="{00000000-0005-0000-0000-0000511F0000}"/>
    <cellStyle name="Normal 9 2 3 6 2" xfId="4046" xr:uid="{00000000-0005-0000-0000-0000521F0000}"/>
    <cellStyle name="Normal 9 2 3 6 2 2" xfId="8268" xr:uid="{00000000-0005-0000-0000-0000531F0000}"/>
    <cellStyle name="Normal 9 2 3 6 2 2 2" xfId="16763" xr:uid="{227C82C4-01E8-46BD-A9BD-8946D7761F44}"/>
    <cellStyle name="Normal 9 2 3 6 2 3" xfId="12550" xr:uid="{95032C09-E4F8-4135-8BC1-B03BDB2EC6AD}"/>
    <cellStyle name="Normal 9 2 3 6 3" xfId="6123" xr:uid="{00000000-0005-0000-0000-0000541F0000}"/>
    <cellStyle name="Normal 9 2 3 6 3 2" xfId="14618" xr:uid="{6D87B96B-E97A-4B84-8520-7CD1B3AD9276}"/>
    <cellStyle name="Normal 9 2 3 6 4" xfId="10405" xr:uid="{1C498E62-C71C-4858-A62D-314ACE7E406D}"/>
    <cellStyle name="Normal 9 2 3 7" xfId="2230" xr:uid="{00000000-0005-0000-0000-0000551F0000}"/>
    <cellStyle name="Normal 9 2 3 7 2" xfId="4459" xr:uid="{00000000-0005-0000-0000-0000561F0000}"/>
    <cellStyle name="Normal 9 2 3 7 2 2" xfId="8681" xr:uid="{00000000-0005-0000-0000-0000571F0000}"/>
    <cellStyle name="Normal 9 2 3 7 2 2 2" xfId="17176" xr:uid="{4BBE961E-D113-4D3C-B8C3-1782BD6993F5}"/>
    <cellStyle name="Normal 9 2 3 7 2 3" xfId="12963" xr:uid="{08CAA92E-DA9F-4330-AE77-E0C0351B989A}"/>
    <cellStyle name="Normal 9 2 3 7 3" xfId="6536" xr:uid="{00000000-0005-0000-0000-0000581F0000}"/>
    <cellStyle name="Normal 9 2 3 7 3 2" xfId="15031" xr:uid="{69AABB11-6F97-48AA-B504-2651D2D23E50}"/>
    <cellStyle name="Normal 9 2 3 7 4" xfId="10818" xr:uid="{CB39AE1D-77E0-4D08-820A-EE4F7F1CCB36}"/>
    <cellStyle name="Normal 9 2 3 8" xfId="2666" xr:uid="{00000000-0005-0000-0000-0000591F0000}"/>
    <cellStyle name="Normal 9 2 3 8 2" xfId="6949" xr:uid="{00000000-0005-0000-0000-00005A1F0000}"/>
    <cellStyle name="Normal 9 2 3 8 2 2" xfId="15444" xr:uid="{02D34B7F-D4C5-4432-A02C-6E249064090D}"/>
    <cellStyle name="Normal 9 2 3 8 3" xfId="11231" xr:uid="{E712D4C0-D920-42FA-A0A4-14D9519F794C}"/>
    <cellStyle name="Normal 9 2 3 9" xfId="4884" xr:uid="{00000000-0005-0000-0000-00005B1F0000}"/>
    <cellStyle name="Normal 9 2 3 9 2" xfId="13379" xr:uid="{B969B444-DBA4-4EE8-A404-16AE7CDF102A}"/>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942" xr:uid="{BD2E91F6-25C4-4182-B3DE-5D006D742A51}"/>
    <cellStyle name="Normal 9 2 4 2 2 2 3" xfId="11729" xr:uid="{C1AF1A54-94C1-47B0-8D70-5DC25D844E83}"/>
    <cellStyle name="Normal 9 2 4 2 2 3" xfId="5302" xr:uid="{00000000-0005-0000-0000-0000611F0000}"/>
    <cellStyle name="Normal 9 2 4 2 2 3 2" xfId="13797" xr:uid="{C35A73F4-0DAC-4EC1-8E24-A166C46F2822}"/>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55" xr:uid="{DDFC01E3-7CF8-4CB1-84E1-C82A38540B9A}"/>
    <cellStyle name="Normal 9 2 4 2 3 2 3" xfId="12142" xr:uid="{35DD3DCA-E458-43A6-9DB4-15EFD71681B9}"/>
    <cellStyle name="Normal 9 2 4 2 3 3" xfId="5715" xr:uid="{00000000-0005-0000-0000-0000651F0000}"/>
    <cellStyle name="Normal 9 2 4 2 3 3 2" xfId="14210" xr:uid="{51043EE3-7CBA-4723-947B-02C0896CDE82}"/>
    <cellStyle name="Normal 9 2 4 2 3 4" xfId="9997" xr:uid="{001693BD-B482-4B4D-A852-65584AA789A9}"/>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68" xr:uid="{DAF5EA3D-92D3-47DA-9A3B-DB63ED4C2E00}"/>
    <cellStyle name="Normal 9 2 4 2 4 2 3" xfId="12555" xr:uid="{F850BBC4-AB1E-4C52-9E84-2084246E66D7}"/>
    <cellStyle name="Normal 9 2 4 2 4 3" xfId="6128" xr:uid="{00000000-0005-0000-0000-0000691F0000}"/>
    <cellStyle name="Normal 9 2 4 2 4 3 2" xfId="14623" xr:uid="{F5760B52-35E7-4D96-8E34-D48CC0C26E70}"/>
    <cellStyle name="Normal 9 2 4 2 4 4" xfId="10410" xr:uid="{625DF8BA-E5A8-4ED3-9E6F-8E36E46897BC}"/>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81" xr:uid="{6A918A44-D261-436D-8B15-73A245315C54}"/>
    <cellStyle name="Normal 9 2 4 2 5 2 3" xfId="12968" xr:uid="{C1360A31-9151-44FD-AF6F-12D02EA45A01}"/>
    <cellStyle name="Normal 9 2 4 2 5 3" xfId="6541" xr:uid="{00000000-0005-0000-0000-00006D1F0000}"/>
    <cellStyle name="Normal 9 2 4 2 5 3 2" xfId="15036" xr:uid="{918E7858-A46B-4A09-ADC3-1CB6FA85DEA0}"/>
    <cellStyle name="Normal 9 2 4 2 5 4" xfId="10823" xr:uid="{2084672A-612C-4127-84FC-FDD900677DE0}"/>
    <cellStyle name="Normal 9 2 4 2 6" xfId="2671" xr:uid="{00000000-0005-0000-0000-00006E1F0000}"/>
    <cellStyle name="Normal 9 2 4 2 6 2" xfId="6954" xr:uid="{00000000-0005-0000-0000-00006F1F0000}"/>
    <cellStyle name="Normal 9 2 4 2 6 2 2" xfId="15449" xr:uid="{107F22EF-F895-433E-BBC7-04BA851A42CE}"/>
    <cellStyle name="Normal 9 2 4 2 6 3" xfId="11236" xr:uid="{DA4EA512-A0AE-4911-B52D-14F8A0AD6F4A}"/>
    <cellStyle name="Normal 9 2 4 2 7" xfId="4889" xr:uid="{00000000-0005-0000-0000-0000701F0000}"/>
    <cellStyle name="Normal 9 2 4 2 7 2" xfId="13384" xr:uid="{C4BBDA76-C269-445F-9115-757769F1883F}"/>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2 2 2" xfId="15941" xr:uid="{487C0D43-1337-497C-8318-A5E6C5B31BEC}"/>
    <cellStyle name="Normal 9 2 4 3 2 3" xfId="11728" xr:uid="{3C8E9F42-0BDC-4CC8-9B07-6DD91D7C90A6}"/>
    <cellStyle name="Normal 9 2 4 3 3" xfId="5301" xr:uid="{00000000-0005-0000-0000-0000741F0000}"/>
    <cellStyle name="Normal 9 2 4 3 3 2" xfId="13796" xr:uid="{F9A6F19B-E40B-4F43-AB8F-8E9D09E31A1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2 2 2" xfId="16354" xr:uid="{5D6DFF4D-4F45-415E-BF18-3B703AC805B2}"/>
    <cellStyle name="Normal 9 2 4 4 2 3" xfId="12141" xr:uid="{8FA3130F-9541-44F6-802F-33FEB803DEC8}"/>
    <cellStyle name="Normal 9 2 4 4 3" xfId="5714" xr:uid="{00000000-0005-0000-0000-0000781F0000}"/>
    <cellStyle name="Normal 9 2 4 4 3 2" xfId="14209" xr:uid="{D9C6C3B8-E815-44FB-BC99-B43EF17EBA8B}"/>
    <cellStyle name="Normal 9 2 4 4 4" xfId="9996" xr:uid="{C1DA8B50-8965-424C-8319-F82F1A309F69}"/>
    <cellStyle name="Normal 9 2 4 5" xfId="1820" xr:uid="{00000000-0005-0000-0000-0000791F0000}"/>
    <cellStyle name="Normal 9 2 4 5 2" xfId="4050" xr:uid="{00000000-0005-0000-0000-00007A1F0000}"/>
    <cellStyle name="Normal 9 2 4 5 2 2" xfId="8272" xr:uid="{00000000-0005-0000-0000-00007B1F0000}"/>
    <cellStyle name="Normal 9 2 4 5 2 2 2" xfId="16767" xr:uid="{968F3F9E-3877-4A9A-B748-A31DCC06E99B}"/>
    <cellStyle name="Normal 9 2 4 5 2 3" xfId="12554" xr:uid="{15601D0F-1EE4-4833-8793-53BE8B571570}"/>
    <cellStyle name="Normal 9 2 4 5 3" xfId="6127" xr:uid="{00000000-0005-0000-0000-00007C1F0000}"/>
    <cellStyle name="Normal 9 2 4 5 3 2" xfId="14622" xr:uid="{CCF2AEA9-B9E5-4D91-8A06-FBE26C0AD411}"/>
    <cellStyle name="Normal 9 2 4 5 4" xfId="10409" xr:uid="{294554E3-2A7D-4312-9DBE-B68181F6636D}"/>
    <cellStyle name="Normal 9 2 4 6" xfId="2234" xr:uid="{00000000-0005-0000-0000-00007D1F0000}"/>
    <cellStyle name="Normal 9 2 4 6 2" xfId="4463" xr:uid="{00000000-0005-0000-0000-00007E1F0000}"/>
    <cellStyle name="Normal 9 2 4 6 2 2" xfId="8685" xr:uid="{00000000-0005-0000-0000-00007F1F0000}"/>
    <cellStyle name="Normal 9 2 4 6 2 2 2" xfId="17180" xr:uid="{4A3FC115-E6BC-44F0-B5BC-120BC548B751}"/>
    <cellStyle name="Normal 9 2 4 6 2 3" xfId="12967" xr:uid="{58EDA9BD-0E51-4794-985B-C58989587253}"/>
    <cellStyle name="Normal 9 2 4 6 3" xfId="6540" xr:uid="{00000000-0005-0000-0000-0000801F0000}"/>
    <cellStyle name="Normal 9 2 4 6 3 2" xfId="15035" xr:uid="{57D54095-C67D-4EA4-9E0F-494758952C6A}"/>
    <cellStyle name="Normal 9 2 4 6 4" xfId="10822" xr:uid="{64A98257-DAC0-4CE3-881E-4BF68877B44D}"/>
    <cellStyle name="Normal 9 2 4 7" xfId="2670" xr:uid="{00000000-0005-0000-0000-0000811F0000}"/>
    <cellStyle name="Normal 9 2 4 7 2" xfId="6953" xr:uid="{00000000-0005-0000-0000-0000821F0000}"/>
    <cellStyle name="Normal 9 2 4 7 2 2" xfId="15448" xr:uid="{9E7FB21C-579C-4315-828B-7E5257DFFE23}"/>
    <cellStyle name="Normal 9 2 4 7 3" xfId="11235" xr:uid="{A0E497CC-BECC-46A5-A1BD-98DC092945E9}"/>
    <cellStyle name="Normal 9 2 4 8" xfId="4888" xr:uid="{00000000-0005-0000-0000-0000831F0000}"/>
    <cellStyle name="Normal 9 2 4 8 2" xfId="13383" xr:uid="{57CBCF56-C216-497A-A359-03230E9DD259}"/>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943" xr:uid="{A015EA3A-99A3-409A-8F41-259914CC5A28}"/>
    <cellStyle name="Normal 9 2 5 2 2 3" xfId="11730" xr:uid="{7B81D337-FC96-4CEC-9633-8B5D00B7CF35}"/>
    <cellStyle name="Normal 9 2 5 2 3" xfId="5303" xr:uid="{00000000-0005-0000-0000-0000881F0000}"/>
    <cellStyle name="Normal 9 2 5 2 3 2" xfId="13798" xr:uid="{3353DBD2-5D05-4C7E-AEAD-4496BA1BFC7A}"/>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2 2 2" xfId="16356" xr:uid="{69A6AA2F-EFE3-4F9F-A9CB-5BAD6070484B}"/>
    <cellStyle name="Normal 9 2 5 3 2 3" xfId="12143" xr:uid="{A84B8793-BD1C-4C5C-B131-FEFC16DFAAFD}"/>
    <cellStyle name="Normal 9 2 5 3 3" xfId="5716" xr:uid="{00000000-0005-0000-0000-00008C1F0000}"/>
    <cellStyle name="Normal 9 2 5 3 3 2" xfId="14211" xr:uid="{EA8C95FE-EC44-4E19-93D0-72D44522A747}"/>
    <cellStyle name="Normal 9 2 5 3 4" xfId="9998" xr:uid="{462F9718-CC50-409B-B433-3B7314A85A48}"/>
    <cellStyle name="Normal 9 2 5 4" xfId="1822" xr:uid="{00000000-0005-0000-0000-00008D1F0000}"/>
    <cellStyle name="Normal 9 2 5 4 2" xfId="4052" xr:uid="{00000000-0005-0000-0000-00008E1F0000}"/>
    <cellStyle name="Normal 9 2 5 4 2 2" xfId="8274" xr:uid="{00000000-0005-0000-0000-00008F1F0000}"/>
    <cellStyle name="Normal 9 2 5 4 2 2 2" xfId="16769" xr:uid="{B49E2391-983D-4C74-BF7E-0B68ADD7FF15}"/>
    <cellStyle name="Normal 9 2 5 4 2 3" xfId="12556" xr:uid="{B3BEEB7D-7D53-4CEA-BA9B-DAE33CEEA3F0}"/>
    <cellStyle name="Normal 9 2 5 4 3" xfId="6129" xr:uid="{00000000-0005-0000-0000-0000901F0000}"/>
    <cellStyle name="Normal 9 2 5 4 3 2" xfId="14624" xr:uid="{6F967AAF-16BA-4073-B27B-972F61C15FE9}"/>
    <cellStyle name="Normal 9 2 5 4 4" xfId="10411" xr:uid="{965F906D-A340-447A-8813-CAA37380C5B4}"/>
    <cellStyle name="Normal 9 2 5 5" xfId="2236" xr:uid="{00000000-0005-0000-0000-0000911F0000}"/>
    <cellStyle name="Normal 9 2 5 5 2" xfId="4465" xr:uid="{00000000-0005-0000-0000-0000921F0000}"/>
    <cellStyle name="Normal 9 2 5 5 2 2" xfId="8687" xr:uid="{00000000-0005-0000-0000-0000931F0000}"/>
    <cellStyle name="Normal 9 2 5 5 2 2 2" xfId="17182" xr:uid="{765F1B21-0C9D-4E1E-A7B9-C933909644AD}"/>
    <cellStyle name="Normal 9 2 5 5 2 3" xfId="12969" xr:uid="{79D716C6-80BA-4E84-B39A-C920BDFFAFAA}"/>
    <cellStyle name="Normal 9 2 5 5 3" xfId="6542" xr:uid="{00000000-0005-0000-0000-0000941F0000}"/>
    <cellStyle name="Normal 9 2 5 5 3 2" xfId="15037" xr:uid="{8B02F7AC-FF9E-4C6B-A64A-7C845E0D71E9}"/>
    <cellStyle name="Normal 9 2 5 5 4" xfId="10824" xr:uid="{3654F46F-C2CC-4C44-A61C-9EAB60495A62}"/>
    <cellStyle name="Normal 9 2 5 6" xfId="2672" xr:uid="{00000000-0005-0000-0000-0000951F0000}"/>
    <cellStyle name="Normal 9 2 5 6 2" xfId="6955" xr:uid="{00000000-0005-0000-0000-0000961F0000}"/>
    <cellStyle name="Normal 9 2 5 6 2 2" xfId="15450" xr:uid="{15948137-CA22-456A-99F2-C8F606F38B1A}"/>
    <cellStyle name="Normal 9 2 5 6 3" xfId="11237" xr:uid="{FB13B387-52C6-4449-BF26-083D34212194}"/>
    <cellStyle name="Normal 9 2 5 7" xfId="4890" xr:uid="{00000000-0005-0000-0000-0000971F0000}"/>
    <cellStyle name="Normal 9 2 5 7 2" xfId="13385" xr:uid="{1E6134E5-F795-4B09-A6E4-8F271FB23012}"/>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2 2 2" xfId="15928" xr:uid="{92C86AAC-BDA5-409B-8641-F259A8EC6850}"/>
    <cellStyle name="Normal 9 2 6 2 3" xfId="11715" xr:uid="{16FE64C7-48FA-4B76-803C-161EA7772E45}"/>
    <cellStyle name="Normal 9 2 6 3" xfId="5288" xr:uid="{00000000-0005-0000-0000-00009B1F0000}"/>
    <cellStyle name="Normal 9 2 6 3 2" xfId="13783" xr:uid="{D73B7361-84BD-4A30-BD8B-9A96EE86912B}"/>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2 2 2" xfId="16341" xr:uid="{3F36132C-6C52-4849-95F9-021800DD620B}"/>
    <cellStyle name="Normal 9 2 7 2 3" xfId="12128" xr:uid="{F5B741F7-18B7-4155-8681-7604A7C8FECB}"/>
    <cellStyle name="Normal 9 2 7 3" xfId="5701" xr:uid="{00000000-0005-0000-0000-00009F1F0000}"/>
    <cellStyle name="Normal 9 2 7 3 2" xfId="14196" xr:uid="{4F398923-73AF-4033-B06D-13DE86955AF1}"/>
    <cellStyle name="Normal 9 2 7 4" xfId="9983" xr:uid="{D656D60C-9647-4255-92E6-0026EBF3AE80}"/>
    <cellStyle name="Normal 9 2 8" xfId="1807" xr:uid="{00000000-0005-0000-0000-0000A01F0000}"/>
    <cellStyle name="Normal 9 2 8 2" xfId="4037" xr:uid="{00000000-0005-0000-0000-0000A11F0000}"/>
    <cellStyle name="Normal 9 2 8 2 2" xfId="8259" xr:uid="{00000000-0005-0000-0000-0000A21F0000}"/>
    <cellStyle name="Normal 9 2 8 2 2 2" xfId="16754" xr:uid="{E2B73822-850C-41A8-9267-6626391C83AA}"/>
    <cellStyle name="Normal 9 2 8 2 3" xfId="12541" xr:uid="{2A9F99C3-636E-412D-8885-E5BFB9FA07B4}"/>
    <cellStyle name="Normal 9 2 8 3" xfId="6114" xr:uid="{00000000-0005-0000-0000-0000A31F0000}"/>
    <cellStyle name="Normal 9 2 8 3 2" xfId="14609" xr:uid="{6E943F60-AD58-4212-8FFA-123C9EFD7C37}"/>
    <cellStyle name="Normal 9 2 8 4" xfId="10396" xr:uid="{6BEC80FB-FD83-4992-886C-FC5CA889A3A5}"/>
    <cellStyle name="Normal 9 2 9" xfId="2221" xr:uid="{00000000-0005-0000-0000-0000A41F0000}"/>
    <cellStyle name="Normal 9 2 9 2" xfId="4450" xr:uid="{00000000-0005-0000-0000-0000A51F0000}"/>
    <cellStyle name="Normal 9 2 9 2 2" xfId="8672" xr:uid="{00000000-0005-0000-0000-0000A61F0000}"/>
    <cellStyle name="Normal 9 2 9 2 2 2" xfId="17167" xr:uid="{DC8594B2-675C-46B9-8240-F553056326DF}"/>
    <cellStyle name="Normal 9 2 9 2 3" xfId="12954" xr:uid="{2614224E-D5ED-42BF-806F-29507A14C5A4}"/>
    <cellStyle name="Normal 9 2 9 3" xfId="6527" xr:uid="{00000000-0005-0000-0000-0000A71F0000}"/>
    <cellStyle name="Normal 9 2 9 3 2" xfId="15022" xr:uid="{2F8C7161-8791-41A8-8BE2-6AEBF3695A8D}"/>
    <cellStyle name="Normal 9 2 9 4" xfId="10809" xr:uid="{0C997267-1D4C-403D-BCAA-118141D9B193}"/>
    <cellStyle name="Normal 9 3" xfId="527" xr:uid="{00000000-0005-0000-0000-0000A81F0000}"/>
    <cellStyle name="Normal 9 3 10" xfId="4891" xr:uid="{00000000-0005-0000-0000-0000A91F0000}"/>
    <cellStyle name="Normal 9 3 10 2" xfId="13386" xr:uid="{7F2CD67E-2248-4936-AE16-935E630B6518}"/>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47" xr:uid="{E38F4B69-F2F8-4D6B-AF7D-A6E9B90A35C1}"/>
    <cellStyle name="Normal 9 3 2 2 2 2 2 3" xfId="11734" xr:uid="{921525AB-43F7-4086-95A9-D2A9245E7665}"/>
    <cellStyle name="Normal 9 3 2 2 2 2 3" xfId="5307" xr:uid="{00000000-0005-0000-0000-0000B01F0000}"/>
    <cellStyle name="Normal 9 3 2 2 2 2 3 2" xfId="13802" xr:uid="{8A3AF5DC-FD63-49AF-ACA2-A57BFB735E24}"/>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60" xr:uid="{B9F8DAD7-9F18-4263-B51C-32CD20EF1D81}"/>
    <cellStyle name="Normal 9 3 2 2 2 3 2 3" xfId="12147" xr:uid="{1AB95922-46B7-430E-A316-1F9F26AD6A6F}"/>
    <cellStyle name="Normal 9 3 2 2 2 3 3" xfId="5720" xr:uid="{00000000-0005-0000-0000-0000B41F0000}"/>
    <cellStyle name="Normal 9 3 2 2 2 3 3 2" xfId="14215" xr:uid="{E795C2EA-BDC6-4D9D-B7EB-1248DCFB9670}"/>
    <cellStyle name="Normal 9 3 2 2 2 3 4" xfId="10002" xr:uid="{52DBDF09-8617-44D3-9E62-80C1EA935761}"/>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73" xr:uid="{8A72D86C-3325-49E1-8868-868929820935}"/>
    <cellStyle name="Normal 9 3 2 2 2 4 2 3" xfId="12560" xr:uid="{AE4429D7-2B3E-4F58-B74C-1F5746777493}"/>
    <cellStyle name="Normal 9 3 2 2 2 4 3" xfId="6133" xr:uid="{00000000-0005-0000-0000-0000B81F0000}"/>
    <cellStyle name="Normal 9 3 2 2 2 4 3 2" xfId="14628" xr:uid="{83924C07-B6EC-4DB5-A994-83DD81FF5914}"/>
    <cellStyle name="Normal 9 3 2 2 2 4 4" xfId="10415" xr:uid="{23FC4111-FEE3-4E91-82E9-C6DCC62A9E99}"/>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86" xr:uid="{D7675569-A608-41F5-B3D5-B595DB8505AE}"/>
    <cellStyle name="Normal 9 3 2 2 2 5 2 3" xfId="12973" xr:uid="{F9BE985A-239B-4D83-94A8-6A1E7B5F9332}"/>
    <cellStyle name="Normal 9 3 2 2 2 5 3" xfId="6546" xr:uid="{00000000-0005-0000-0000-0000BC1F0000}"/>
    <cellStyle name="Normal 9 3 2 2 2 5 3 2" xfId="15041" xr:uid="{442D265C-0F88-4513-8BC4-2E6BA4FF4766}"/>
    <cellStyle name="Normal 9 3 2 2 2 5 4" xfId="10828" xr:uid="{399748F2-E32F-4EB3-B8B0-F30B97C73296}"/>
    <cellStyle name="Normal 9 3 2 2 2 6" xfId="2676" xr:uid="{00000000-0005-0000-0000-0000BD1F0000}"/>
    <cellStyle name="Normal 9 3 2 2 2 6 2" xfId="6959" xr:uid="{00000000-0005-0000-0000-0000BE1F0000}"/>
    <cellStyle name="Normal 9 3 2 2 2 6 2 2" xfId="15454" xr:uid="{2390936F-1D54-41B6-8717-5481959745BA}"/>
    <cellStyle name="Normal 9 3 2 2 2 6 3" xfId="11241" xr:uid="{88946F94-4ADC-467E-B4F1-9B50ED2AD8BC}"/>
    <cellStyle name="Normal 9 3 2 2 2 7" xfId="4894" xr:uid="{00000000-0005-0000-0000-0000BF1F0000}"/>
    <cellStyle name="Normal 9 3 2 2 2 7 2" xfId="13389" xr:uid="{F7407E39-60EC-4DB4-BAE0-70309222019C}"/>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46" xr:uid="{563F5BFB-EE53-4281-AA32-35E3F0E1FEEF}"/>
    <cellStyle name="Normal 9 3 2 2 3 2 3" xfId="11733" xr:uid="{298B2F1F-F059-4ED0-B947-3FB1E6A8344F}"/>
    <cellStyle name="Normal 9 3 2 2 3 3" xfId="5306" xr:uid="{00000000-0005-0000-0000-0000C31F0000}"/>
    <cellStyle name="Normal 9 3 2 2 3 3 2" xfId="13801" xr:uid="{1653EC13-4D17-4F42-A2EE-70238257C268}"/>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59" xr:uid="{DCAA7724-465E-4B90-8B37-7F8D28D86373}"/>
    <cellStyle name="Normal 9 3 2 2 4 2 3" xfId="12146" xr:uid="{76E46F86-0986-47FC-8328-F18AA568104A}"/>
    <cellStyle name="Normal 9 3 2 2 4 3" xfId="5719" xr:uid="{00000000-0005-0000-0000-0000C71F0000}"/>
    <cellStyle name="Normal 9 3 2 2 4 3 2" xfId="14214" xr:uid="{685B268B-4F07-4B6A-A5AC-A5A51105E8CB}"/>
    <cellStyle name="Normal 9 3 2 2 4 4" xfId="10001" xr:uid="{05623485-B703-4C55-A533-AA584CA9BDC8}"/>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72" xr:uid="{B873D41D-F7BC-434F-AB61-E02E298A4A96}"/>
    <cellStyle name="Normal 9 3 2 2 5 2 3" xfId="12559" xr:uid="{2A27734A-3D41-4D96-9082-0C77AD35ED50}"/>
    <cellStyle name="Normal 9 3 2 2 5 3" xfId="6132" xr:uid="{00000000-0005-0000-0000-0000CB1F0000}"/>
    <cellStyle name="Normal 9 3 2 2 5 3 2" xfId="14627" xr:uid="{FEEEC2AE-193A-4163-BA2F-A99ED1C723B0}"/>
    <cellStyle name="Normal 9 3 2 2 5 4" xfId="10414" xr:uid="{08648301-E8DB-47D3-9C11-091DFE92EC54}"/>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85" xr:uid="{C777EBAB-B184-4265-9A93-20A5B9080D7C}"/>
    <cellStyle name="Normal 9 3 2 2 6 2 3" xfId="12972" xr:uid="{5FCA290E-4694-463F-89A7-5015E72A2828}"/>
    <cellStyle name="Normal 9 3 2 2 6 3" xfId="6545" xr:uid="{00000000-0005-0000-0000-0000CF1F0000}"/>
    <cellStyle name="Normal 9 3 2 2 6 3 2" xfId="15040" xr:uid="{276DB02D-8FFF-4E2C-9A92-ECF9AC4403E9}"/>
    <cellStyle name="Normal 9 3 2 2 6 4" xfId="10827" xr:uid="{0B6AD527-9A07-40CD-B47D-070FD2B3E450}"/>
    <cellStyle name="Normal 9 3 2 2 7" xfId="2675" xr:uid="{00000000-0005-0000-0000-0000D01F0000}"/>
    <cellStyle name="Normal 9 3 2 2 7 2" xfId="6958" xr:uid="{00000000-0005-0000-0000-0000D11F0000}"/>
    <cellStyle name="Normal 9 3 2 2 7 2 2" xfId="15453" xr:uid="{0204E966-8A3B-44D0-9B61-E620B9DF449B}"/>
    <cellStyle name="Normal 9 3 2 2 7 3" xfId="11240" xr:uid="{77BE52EC-9F5F-43D3-BDBC-251941E3CAAC}"/>
    <cellStyle name="Normal 9 3 2 2 8" xfId="4893" xr:uid="{00000000-0005-0000-0000-0000D21F0000}"/>
    <cellStyle name="Normal 9 3 2 2 8 2" xfId="13388" xr:uid="{E2BA79BD-FAE3-4339-B323-A8D90512A5B7}"/>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48" xr:uid="{73087E2F-AC52-4402-8474-CF9C261C2C0E}"/>
    <cellStyle name="Normal 9 3 2 3 2 2 3" xfId="11735" xr:uid="{8B4DA98B-A890-4B16-A7AA-C54840CA4AAC}"/>
    <cellStyle name="Normal 9 3 2 3 2 3" xfId="5308" xr:uid="{00000000-0005-0000-0000-0000D71F0000}"/>
    <cellStyle name="Normal 9 3 2 3 2 3 2" xfId="13803" xr:uid="{3C1C831B-9EBF-4359-8998-E5F66A024276}"/>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61" xr:uid="{1F339F59-FDE0-4851-B012-26796E910FEC}"/>
    <cellStyle name="Normal 9 3 2 3 3 2 3" xfId="12148" xr:uid="{75C49ABD-3C36-499A-8BBA-23CF417D05F0}"/>
    <cellStyle name="Normal 9 3 2 3 3 3" xfId="5721" xr:uid="{00000000-0005-0000-0000-0000DB1F0000}"/>
    <cellStyle name="Normal 9 3 2 3 3 3 2" xfId="14216" xr:uid="{FA06B1F6-EE44-4FEA-B80C-5B8FCC21F017}"/>
    <cellStyle name="Normal 9 3 2 3 3 4" xfId="10003" xr:uid="{8535E9F1-8264-4F7E-8C0E-F6D73737C2D9}"/>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74" xr:uid="{E8AA7647-0CBA-477F-98CE-12D9CB20C580}"/>
    <cellStyle name="Normal 9 3 2 3 4 2 3" xfId="12561" xr:uid="{9C45832B-838A-4761-BE42-0274B77D6A5B}"/>
    <cellStyle name="Normal 9 3 2 3 4 3" xfId="6134" xr:uid="{00000000-0005-0000-0000-0000DF1F0000}"/>
    <cellStyle name="Normal 9 3 2 3 4 3 2" xfId="14629" xr:uid="{FE6E304B-20EB-4D4C-AFBE-A0C9A302EFDE}"/>
    <cellStyle name="Normal 9 3 2 3 4 4" xfId="10416" xr:uid="{59DD8098-3DAD-4281-86C8-76C77228C22F}"/>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87" xr:uid="{1A31B054-4C58-4D2F-9563-9A6D3B55776B}"/>
    <cellStyle name="Normal 9 3 2 3 5 2 3" xfId="12974" xr:uid="{BB85EAB5-7DF6-4FC6-AD63-F74C245C1000}"/>
    <cellStyle name="Normal 9 3 2 3 5 3" xfId="6547" xr:uid="{00000000-0005-0000-0000-0000E31F0000}"/>
    <cellStyle name="Normal 9 3 2 3 5 3 2" xfId="15042" xr:uid="{D0B5F8FE-434D-4366-BC4A-A3C6EA3AC77B}"/>
    <cellStyle name="Normal 9 3 2 3 5 4" xfId="10829" xr:uid="{335B7C09-ACF8-4EC6-AE4F-20BE31D03A4F}"/>
    <cellStyle name="Normal 9 3 2 3 6" xfId="2677" xr:uid="{00000000-0005-0000-0000-0000E41F0000}"/>
    <cellStyle name="Normal 9 3 2 3 6 2" xfId="6960" xr:uid="{00000000-0005-0000-0000-0000E51F0000}"/>
    <cellStyle name="Normal 9 3 2 3 6 2 2" xfId="15455" xr:uid="{2034539B-D9B8-4EF1-9243-C0342C885C56}"/>
    <cellStyle name="Normal 9 3 2 3 6 3" xfId="11242" xr:uid="{9F16B77B-500E-44AD-A85F-BB225AEEDED2}"/>
    <cellStyle name="Normal 9 3 2 3 7" xfId="4895" xr:uid="{00000000-0005-0000-0000-0000E61F0000}"/>
    <cellStyle name="Normal 9 3 2 3 7 2" xfId="13390" xr:uid="{90962E67-3E3A-4B9B-B899-DB93C2A504A7}"/>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2 2 2" xfId="15945" xr:uid="{BCF6A335-8937-4A42-996E-A8CE79F8F704}"/>
    <cellStyle name="Normal 9 3 2 4 2 3" xfId="11732" xr:uid="{93237C45-EDE0-4C1B-9686-CA7EF4C1BF6B}"/>
    <cellStyle name="Normal 9 3 2 4 3" xfId="5305" xr:uid="{00000000-0005-0000-0000-0000EA1F0000}"/>
    <cellStyle name="Normal 9 3 2 4 3 2" xfId="13800" xr:uid="{6535CD47-90D7-41BD-BA42-A5EFDD953F56}"/>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2 2 2" xfId="16358" xr:uid="{F110816D-7684-46AC-9BEF-7F27B92F3DF3}"/>
    <cellStyle name="Normal 9 3 2 5 2 3" xfId="12145" xr:uid="{1ECFDA1B-38EE-41CB-84FA-31DE34F94810}"/>
    <cellStyle name="Normal 9 3 2 5 3" xfId="5718" xr:uid="{00000000-0005-0000-0000-0000EE1F0000}"/>
    <cellStyle name="Normal 9 3 2 5 3 2" xfId="14213" xr:uid="{8CC65FCE-BDF3-4786-9660-BD9CBE5CC1AB}"/>
    <cellStyle name="Normal 9 3 2 5 4" xfId="10000" xr:uid="{31527BE7-14A7-40C8-80D6-7612399952E3}"/>
    <cellStyle name="Normal 9 3 2 6" xfId="1824" xr:uid="{00000000-0005-0000-0000-0000EF1F0000}"/>
    <cellStyle name="Normal 9 3 2 6 2" xfId="4054" xr:uid="{00000000-0005-0000-0000-0000F01F0000}"/>
    <cellStyle name="Normal 9 3 2 6 2 2" xfId="8276" xr:uid="{00000000-0005-0000-0000-0000F11F0000}"/>
    <cellStyle name="Normal 9 3 2 6 2 2 2" xfId="16771" xr:uid="{22AC878F-6121-4BB9-93FF-8805F6B35C1C}"/>
    <cellStyle name="Normal 9 3 2 6 2 3" xfId="12558" xr:uid="{5D738513-3227-4EAC-9AC5-4D0AC160BC93}"/>
    <cellStyle name="Normal 9 3 2 6 3" xfId="6131" xr:uid="{00000000-0005-0000-0000-0000F21F0000}"/>
    <cellStyle name="Normal 9 3 2 6 3 2" xfId="14626" xr:uid="{E2A57A3D-536B-4374-934B-E7518E1FAC20}"/>
    <cellStyle name="Normal 9 3 2 6 4" xfId="10413" xr:uid="{C731CFBA-0CA7-42EB-AAE0-7CDEB0DFF5FB}"/>
    <cellStyle name="Normal 9 3 2 7" xfId="2238" xr:uid="{00000000-0005-0000-0000-0000F31F0000}"/>
    <cellStyle name="Normal 9 3 2 7 2" xfId="4467" xr:uid="{00000000-0005-0000-0000-0000F41F0000}"/>
    <cellStyle name="Normal 9 3 2 7 2 2" xfId="8689" xr:uid="{00000000-0005-0000-0000-0000F51F0000}"/>
    <cellStyle name="Normal 9 3 2 7 2 2 2" xfId="17184" xr:uid="{8131C2FC-E913-4734-8E3F-07925ADC9AF0}"/>
    <cellStyle name="Normal 9 3 2 7 2 3" xfId="12971" xr:uid="{A8683EE1-1D70-42AA-B825-7165D9E37B37}"/>
    <cellStyle name="Normal 9 3 2 7 3" xfId="6544" xr:uid="{00000000-0005-0000-0000-0000F61F0000}"/>
    <cellStyle name="Normal 9 3 2 7 3 2" xfId="15039" xr:uid="{6264456A-E92C-4061-93D9-8600B975FC85}"/>
    <cellStyle name="Normal 9 3 2 7 4" xfId="10826" xr:uid="{7D4F61AE-EF1B-4DA0-8F4F-32DCFC282A0E}"/>
    <cellStyle name="Normal 9 3 2 8" xfId="2674" xr:uid="{00000000-0005-0000-0000-0000F71F0000}"/>
    <cellStyle name="Normal 9 3 2 8 2" xfId="6957" xr:uid="{00000000-0005-0000-0000-0000F81F0000}"/>
    <cellStyle name="Normal 9 3 2 8 2 2" xfId="15452" xr:uid="{1F2ACFA4-2336-4E48-AB48-19A6566D8FCC}"/>
    <cellStyle name="Normal 9 3 2 8 3" xfId="11239" xr:uid="{6C21DB85-A913-4F22-9AF0-52796B6EABDF}"/>
    <cellStyle name="Normal 9 3 2 9" xfId="4892" xr:uid="{00000000-0005-0000-0000-0000F91F0000}"/>
    <cellStyle name="Normal 9 3 2 9 2" xfId="13387" xr:uid="{E2264A82-EFF6-49EC-887D-5912305B78EC}"/>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50" xr:uid="{9469DC64-ACFF-40C9-B5C9-A57A4FFEAFBD}"/>
    <cellStyle name="Normal 9 3 3 2 2 2 3" xfId="11737" xr:uid="{41108E09-24D7-496F-A09D-E79224294721}"/>
    <cellStyle name="Normal 9 3 3 2 2 3" xfId="5310" xr:uid="{00000000-0005-0000-0000-0000FF1F0000}"/>
    <cellStyle name="Normal 9 3 3 2 2 3 2" xfId="13805" xr:uid="{952FE916-C8A2-430C-BF2A-339D46857753}"/>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63" xr:uid="{837620B6-C338-450B-A11B-E18CB0B5CFA1}"/>
    <cellStyle name="Normal 9 3 3 2 3 2 3" xfId="12150" xr:uid="{E7C2B53C-EA30-4C01-8A28-E6C6B1563B5E}"/>
    <cellStyle name="Normal 9 3 3 2 3 3" xfId="5723" xr:uid="{00000000-0005-0000-0000-000003200000}"/>
    <cellStyle name="Normal 9 3 3 2 3 3 2" xfId="14218" xr:uid="{A1FECA65-7586-40A8-9DBA-1F24580A862F}"/>
    <cellStyle name="Normal 9 3 3 2 3 4" xfId="10005" xr:uid="{D2FD1F6E-1E88-43E0-B210-EF155C011C54}"/>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76" xr:uid="{E32AD86F-78CB-4A78-94B5-560FB8124852}"/>
    <cellStyle name="Normal 9 3 3 2 4 2 3" xfId="12563" xr:uid="{2B342A3D-9B23-4970-B88E-1FDA2811FEF9}"/>
    <cellStyle name="Normal 9 3 3 2 4 3" xfId="6136" xr:uid="{00000000-0005-0000-0000-000007200000}"/>
    <cellStyle name="Normal 9 3 3 2 4 3 2" xfId="14631" xr:uid="{B56FBCF8-C5B7-4119-9717-A3F31A9A072F}"/>
    <cellStyle name="Normal 9 3 3 2 4 4" xfId="10418" xr:uid="{27E5ED1A-0783-4706-9E08-EAAE64BA0774}"/>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89" xr:uid="{4CA1C68B-78A5-4BED-86A3-AFB7CA0442C4}"/>
    <cellStyle name="Normal 9 3 3 2 5 2 3" xfId="12976" xr:uid="{463C6B3F-C747-4600-979A-0810235C1D1C}"/>
    <cellStyle name="Normal 9 3 3 2 5 3" xfId="6549" xr:uid="{00000000-0005-0000-0000-00000B200000}"/>
    <cellStyle name="Normal 9 3 3 2 5 3 2" xfId="15044" xr:uid="{C2663E6F-CC75-4EB3-B1DB-1ABC2952E249}"/>
    <cellStyle name="Normal 9 3 3 2 5 4" xfId="10831" xr:uid="{0DE9E3EF-76D2-4991-8261-D10C24B8449A}"/>
    <cellStyle name="Normal 9 3 3 2 6" xfId="2679" xr:uid="{00000000-0005-0000-0000-00000C200000}"/>
    <cellStyle name="Normal 9 3 3 2 6 2" xfId="6962" xr:uid="{00000000-0005-0000-0000-00000D200000}"/>
    <cellStyle name="Normal 9 3 3 2 6 2 2" xfId="15457" xr:uid="{9738F90D-BF50-4D42-A768-2E6533BF9061}"/>
    <cellStyle name="Normal 9 3 3 2 6 3" xfId="11244" xr:uid="{ED21EF3B-DF8F-44D3-A579-7AEB48DB19F5}"/>
    <cellStyle name="Normal 9 3 3 2 7" xfId="4897" xr:uid="{00000000-0005-0000-0000-00000E200000}"/>
    <cellStyle name="Normal 9 3 3 2 7 2" xfId="13392" xr:uid="{020AF0A3-8FC7-4332-B064-F7E3600CC975}"/>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2 2 2" xfId="15949" xr:uid="{F38C4C3E-E4D7-4353-B310-CDFBF47D35CB}"/>
    <cellStyle name="Normal 9 3 3 3 2 3" xfId="11736" xr:uid="{D210A5A9-3F08-4D4A-9BA9-B9F675847A3B}"/>
    <cellStyle name="Normal 9 3 3 3 3" xfId="5309" xr:uid="{00000000-0005-0000-0000-000012200000}"/>
    <cellStyle name="Normal 9 3 3 3 3 2" xfId="13804" xr:uid="{7EA81242-F5AD-444A-BFCF-89145B9FA208}"/>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2 2 2" xfId="16362" xr:uid="{D484C25D-DF69-4D65-B815-2B874768427D}"/>
    <cellStyle name="Normal 9 3 3 4 2 3" xfId="12149" xr:uid="{0E64838B-096C-4E07-A4AB-D1D060941B31}"/>
    <cellStyle name="Normal 9 3 3 4 3" xfId="5722" xr:uid="{00000000-0005-0000-0000-000016200000}"/>
    <cellStyle name="Normal 9 3 3 4 3 2" xfId="14217" xr:uid="{651FC6FE-C66A-4081-96D0-EAB48015958C}"/>
    <cellStyle name="Normal 9 3 3 4 4" xfId="10004" xr:uid="{B1556593-7C91-47F6-99FC-520D0E6B5CCA}"/>
    <cellStyle name="Normal 9 3 3 5" xfId="1828" xr:uid="{00000000-0005-0000-0000-000017200000}"/>
    <cellStyle name="Normal 9 3 3 5 2" xfId="4058" xr:uid="{00000000-0005-0000-0000-000018200000}"/>
    <cellStyle name="Normal 9 3 3 5 2 2" xfId="8280" xr:uid="{00000000-0005-0000-0000-000019200000}"/>
    <cellStyle name="Normal 9 3 3 5 2 2 2" xfId="16775" xr:uid="{BE515E5A-BBA1-42D3-B6E0-A19CED5B3507}"/>
    <cellStyle name="Normal 9 3 3 5 2 3" xfId="12562" xr:uid="{C228007A-518F-4DA5-8C63-D8BEF2BDE341}"/>
    <cellStyle name="Normal 9 3 3 5 3" xfId="6135" xr:uid="{00000000-0005-0000-0000-00001A200000}"/>
    <cellStyle name="Normal 9 3 3 5 3 2" xfId="14630" xr:uid="{76C5E1B1-D7DE-4F70-BEA4-9DFBC65264DB}"/>
    <cellStyle name="Normal 9 3 3 5 4" xfId="10417" xr:uid="{DEC2C58B-0185-4B1D-A810-F113D6640C4C}"/>
    <cellStyle name="Normal 9 3 3 6" xfId="2242" xr:uid="{00000000-0005-0000-0000-00001B200000}"/>
    <cellStyle name="Normal 9 3 3 6 2" xfId="4471" xr:uid="{00000000-0005-0000-0000-00001C200000}"/>
    <cellStyle name="Normal 9 3 3 6 2 2" xfId="8693" xr:uid="{00000000-0005-0000-0000-00001D200000}"/>
    <cellStyle name="Normal 9 3 3 6 2 2 2" xfId="17188" xr:uid="{F76A0E49-2C60-4199-A13D-3F364885D876}"/>
    <cellStyle name="Normal 9 3 3 6 2 3" xfId="12975" xr:uid="{EBCD4AD2-B0FA-478F-B7EF-0A7EF75E9A89}"/>
    <cellStyle name="Normal 9 3 3 6 3" xfId="6548" xr:uid="{00000000-0005-0000-0000-00001E200000}"/>
    <cellStyle name="Normal 9 3 3 6 3 2" xfId="15043" xr:uid="{610B3737-43E6-4895-A4B5-B3C879CFF317}"/>
    <cellStyle name="Normal 9 3 3 6 4" xfId="10830" xr:uid="{5A9F3E7A-18B3-47B9-A24C-EA77D20EFFFB}"/>
    <cellStyle name="Normal 9 3 3 7" xfId="2678" xr:uid="{00000000-0005-0000-0000-00001F200000}"/>
    <cellStyle name="Normal 9 3 3 7 2" xfId="6961" xr:uid="{00000000-0005-0000-0000-000020200000}"/>
    <cellStyle name="Normal 9 3 3 7 2 2" xfId="15456" xr:uid="{04B9F9D0-D56D-44A4-8BD2-3D464FC26F95}"/>
    <cellStyle name="Normal 9 3 3 7 3" xfId="11243" xr:uid="{5A87016A-2BFD-43BF-B0A0-C9C96CE1B1B3}"/>
    <cellStyle name="Normal 9 3 3 8" xfId="4896" xr:uid="{00000000-0005-0000-0000-000021200000}"/>
    <cellStyle name="Normal 9 3 3 8 2" xfId="13391" xr:uid="{4B314363-CC0C-4C52-8381-F19EB61B7118}"/>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51" xr:uid="{B31278EB-99CC-47AC-9F72-C5A5CF9EDE5E}"/>
    <cellStyle name="Normal 9 3 4 2 2 3" xfId="11738" xr:uid="{687E792C-C372-43AF-90A7-869AA15E6687}"/>
    <cellStyle name="Normal 9 3 4 2 3" xfId="5311" xr:uid="{00000000-0005-0000-0000-000026200000}"/>
    <cellStyle name="Normal 9 3 4 2 3 2" xfId="13806" xr:uid="{BA972923-3E70-45F5-9107-97097EF4A59E}"/>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2 2 2" xfId="16364" xr:uid="{31A7F9DF-58FE-4AF9-9DED-0185CEEDA5AC}"/>
    <cellStyle name="Normal 9 3 4 3 2 3" xfId="12151" xr:uid="{653B9618-28AE-441D-8F9D-BDE67B983D03}"/>
    <cellStyle name="Normal 9 3 4 3 3" xfId="5724" xr:uid="{00000000-0005-0000-0000-00002A200000}"/>
    <cellStyle name="Normal 9 3 4 3 3 2" xfId="14219" xr:uid="{47926F66-22B5-4406-9E59-36BE79411A5F}"/>
    <cellStyle name="Normal 9 3 4 3 4" xfId="10006" xr:uid="{6ECFC33A-1417-48C0-A464-4A325904B11A}"/>
    <cellStyle name="Normal 9 3 4 4" xfId="1830" xr:uid="{00000000-0005-0000-0000-00002B200000}"/>
    <cellStyle name="Normal 9 3 4 4 2" xfId="4060" xr:uid="{00000000-0005-0000-0000-00002C200000}"/>
    <cellStyle name="Normal 9 3 4 4 2 2" xfId="8282" xr:uid="{00000000-0005-0000-0000-00002D200000}"/>
    <cellStyle name="Normal 9 3 4 4 2 2 2" xfId="16777" xr:uid="{038F2138-E5DA-43C4-81D8-5E2AB7A768EB}"/>
    <cellStyle name="Normal 9 3 4 4 2 3" xfId="12564" xr:uid="{3C6D081B-5359-4EF3-83F0-BA70F20817EF}"/>
    <cellStyle name="Normal 9 3 4 4 3" xfId="6137" xr:uid="{00000000-0005-0000-0000-00002E200000}"/>
    <cellStyle name="Normal 9 3 4 4 3 2" xfId="14632" xr:uid="{BEB01AD6-59AE-4606-BD01-E353814FBFF3}"/>
    <cellStyle name="Normal 9 3 4 4 4" xfId="10419" xr:uid="{33073902-C143-4D0D-813F-A917AA78286B}"/>
    <cellStyle name="Normal 9 3 4 5" xfId="2244" xr:uid="{00000000-0005-0000-0000-00002F200000}"/>
    <cellStyle name="Normal 9 3 4 5 2" xfId="4473" xr:uid="{00000000-0005-0000-0000-000030200000}"/>
    <cellStyle name="Normal 9 3 4 5 2 2" xfId="8695" xr:uid="{00000000-0005-0000-0000-000031200000}"/>
    <cellStyle name="Normal 9 3 4 5 2 2 2" xfId="17190" xr:uid="{7AADB762-02A9-4409-A4A5-B0E7393F75ED}"/>
    <cellStyle name="Normal 9 3 4 5 2 3" xfId="12977" xr:uid="{9608FCB9-FA68-49A2-A044-FCD271773B91}"/>
    <cellStyle name="Normal 9 3 4 5 3" xfId="6550" xr:uid="{00000000-0005-0000-0000-000032200000}"/>
    <cellStyle name="Normal 9 3 4 5 3 2" xfId="15045" xr:uid="{EEB90124-77B9-47A8-A201-10530B62C382}"/>
    <cellStyle name="Normal 9 3 4 5 4" xfId="10832" xr:uid="{4832BE35-5F1C-4810-ADC9-0CA6952A8AE5}"/>
    <cellStyle name="Normal 9 3 4 6" xfId="2680" xr:uid="{00000000-0005-0000-0000-000033200000}"/>
    <cellStyle name="Normal 9 3 4 6 2" xfId="6963" xr:uid="{00000000-0005-0000-0000-000034200000}"/>
    <cellStyle name="Normal 9 3 4 6 2 2" xfId="15458" xr:uid="{DB66F207-2FF2-4B3B-968B-BA70F466BF72}"/>
    <cellStyle name="Normal 9 3 4 6 3" xfId="11245" xr:uid="{9E7A446B-2F3D-4356-8910-30ECB1CBBF61}"/>
    <cellStyle name="Normal 9 3 4 7" xfId="4898" xr:uid="{00000000-0005-0000-0000-000035200000}"/>
    <cellStyle name="Normal 9 3 4 7 2" xfId="13393" xr:uid="{60C249D0-291C-406E-A1BE-68E76195B0F7}"/>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2 2 2" xfId="15944" xr:uid="{02AD3B37-FC79-4F25-9D0A-4FC5B47ADEBC}"/>
    <cellStyle name="Normal 9 3 5 2 3" xfId="11731" xr:uid="{753F09A0-90D8-4077-A9A0-F793E344E8F6}"/>
    <cellStyle name="Normal 9 3 5 3" xfId="5304" xr:uid="{00000000-0005-0000-0000-000039200000}"/>
    <cellStyle name="Normal 9 3 5 3 2" xfId="13799" xr:uid="{4E705621-470E-4DFC-B7C4-E39672899222}"/>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2 2 2" xfId="16357" xr:uid="{F3C881C7-A71A-4BB1-A883-B6EDB02F1CDB}"/>
    <cellStyle name="Normal 9 3 6 2 3" xfId="12144" xr:uid="{BF80201D-438B-47F9-A2F2-B4985E4F4F00}"/>
    <cellStyle name="Normal 9 3 6 3" xfId="5717" xr:uid="{00000000-0005-0000-0000-00003D200000}"/>
    <cellStyle name="Normal 9 3 6 3 2" xfId="14212" xr:uid="{E33A7E4B-4297-42F0-A099-38450A42418C}"/>
    <cellStyle name="Normal 9 3 6 4" xfId="9999" xr:uid="{DEF0F62C-20B0-41D5-A0DC-1E072B32FBD4}"/>
    <cellStyle name="Normal 9 3 7" xfId="1823" xr:uid="{00000000-0005-0000-0000-00003E200000}"/>
    <cellStyle name="Normal 9 3 7 2" xfId="4053" xr:uid="{00000000-0005-0000-0000-00003F200000}"/>
    <cellStyle name="Normal 9 3 7 2 2" xfId="8275" xr:uid="{00000000-0005-0000-0000-000040200000}"/>
    <cellStyle name="Normal 9 3 7 2 2 2" xfId="16770" xr:uid="{57A6CC55-A30E-449A-B7AD-935C47A214FC}"/>
    <cellStyle name="Normal 9 3 7 2 3" xfId="12557" xr:uid="{83E7B35C-00CE-408B-9755-B2396A9D5AE2}"/>
    <cellStyle name="Normal 9 3 7 3" xfId="6130" xr:uid="{00000000-0005-0000-0000-000041200000}"/>
    <cellStyle name="Normal 9 3 7 3 2" xfId="14625" xr:uid="{7BB36DD9-DB6A-4E6D-BBC4-14D91AF5E2D8}"/>
    <cellStyle name="Normal 9 3 7 4" xfId="10412" xr:uid="{0F96D796-01F3-470A-A4B1-03AF9403D047}"/>
    <cellStyle name="Normal 9 3 8" xfId="2237" xr:uid="{00000000-0005-0000-0000-000042200000}"/>
    <cellStyle name="Normal 9 3 8 2" xfId="4466" xr:uid="{00000000-0005-0000-0000-000043200000}"/>
    <cellStyle name="Normal 9 3 8 2 2" xfId="8688" xr:uid="{00000000-0005-0000-0000-000044200000}"/>
    <cellStyle name="Normal 9 3 8 2 2 2" xfId="17183" xr:uid="{D24E4FA4-1FE0-4ABE-948D-3058373AF214}"/>
    <cellStyle name="Normal 9 3 8 2 3" xfId="12970" xr:uid="{664E0A0A-72E4-400B-949E-4CA093450F35}"/>
    <cellStyle name="Normal 9 3 8 3" xfId="6543" xr:uid="{00000000-0005-0000-0000-000045200000}"/>
    <cellStyle name="Normal 9 3 8 3 2" xfId="15038" xr:uid="{50A203B4-D70B-4C6F-9290-1A4AEA88B494}"/>
    <cellStyle name="Normal 9 3 8 4" xfId="10825" xr:uid="{206DA76F-A613-43F5-BDBA-002C8C82FC4F}"/>
    <cellStyle name="Normal 9 3 9" xfId="2673" xr:uid="{00000000-0005-0000-0000-000046200000}"/>
    <cellStyle name="Normal 9 3 9 2" xfId="6956" xr:uid="{00000000-0005-0000-0000-000047200000}"/>
    <cellStyle name="Normal 9 3 9 2 2" xfId="15451" xr:uid="{370A16E8-D01B-4C8D-B475-4E1AE3F6CFBE}"/>
    <cellStyle name="Normal 9 3 9 3" xfId="11238" xr:uid="{1D2AB8A5-1EDD-43D7-A69C-191FEB88A823}"/>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53" xr:uid="{E38F68DD-4E2D-410F-903D-6152F35B1703}"/>
    <cellStyle name="Normal 9 5 2 2 2 3" xfId="11740" xr:uid="{849A7E1B-340F-423E-873E-9F653C00FF47}"/>
    <cellStyle name="Normal 9 5 2 2 3" xfId="5313" xr:uid="{00000000-0005-0000-0000-00004F200000}"/>
    <cellStyle name="Normal 9 5 2 2 3 2" xfId="13808" xr:uid="{45B5878C-1A5B-495C-AF9A-BF47FC0D6852}"/>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2 2 2" xfId="16366" xr:uid="{B3F01D61-6FD6-4142-863D-8A2307C4BBCC}"/>
    <cellStyle name="Normal 9 5 2 3 2 3" xfId="12153" xr:uid="{4DCC9515-1AD5-49BE-AC0A-1109905784CD}"/>
    <cellStyle name="Normal 9 5 2 3 3" xfId="5726" xr:uid="{00000000-0005-0000-0000-000053200000}"/>
    <cellStyle name="Normal 9 5 2 3 3 2" xfId="14221" xr:uid="{085DECBF-6030-43AA-BD43-6C8B9914336C}"/>
    <cellStyle name="Normal 9 5 2 3 4" xfId="10008" xr:uid="{AABF78D5-452F-4A0C-BAE8-9A348796E84D}"/>
    <cellStyle name="Normal 9 5 2 4" xfId="1832" xr:uid="{00000000-0005-0000-0000-000054200000}"/>
    <cellStyle name="Normal 9 5 2 4 2" xfId="4062" xr:uid="{00000000-0005-0000-0000-000055200000}"/>
    <cellStyle name="Normal 9 5 2 4 2 2" xfId="8284" xr:uid="{00000000-0005-0000-0000-000056200000}"/>
    <cellStyle name="Normal 9 5 2 4 2 2 2" xfId="16779" xr:uid="{04C79701-772F-49AA-86E6-91058E2F16B6}"/>
    <cellStyle name="Normal 9 5 2 4 2 3" xfId="12566" xr:uid="{AD5028DE-6F6A-4E29-80CB-5162AE329D3C}"/>
    <cellStyle name="Normal 9 5 2 4 3" xfId="6139" xr:uid="{00000000-0005-0000-0000-000057200000}"/>
    <cellStyle name="Normal 9 5 2 4 3 2" xfId="14634" xr:uid="{C3137936-1867-4F5D-A847-421E09DBE3C1}"/>
    <cellStyle name="Normal 9 5 2 4 4" xfId="10421" xr:uid="{C847198D-7CD6-4734-97EB-DE63B5CAF837}"/>
    <cellStyle name="Normal 9 5 2 5" xfId="2246" xr:uid="{00000000-0005-0000-0000-000058200000}"/>
    <cellStyle name="Normal 9 5 2 5 2" xfId="4475" xr:uid="{00000000-0005-0000-0000-000059200000}"/>
    <cellStyle name="Normal 9 5 2 5 2 2" xfId="8697" xr:uid="{00000000-0005-0000-0000-00005A200000}"/>
    <cellStyle name="Normal 9 5 2 5 2 2 2" xfId="17192" xr:uid="{7D197A7D-2975-4B8E-98AB-82E4196C810E}"/>
    <cellStyle name="Normal 9 5 2 5 2 3" xfId="12979" xr:uid="{A9557F5F-589F-45C6-9EEE-104B04F985B5}"/>
    <cellStyle name="Normal 9 5 2 5 3" xfId="6552" xr:uid="{00000000-0005-0000-0000-00005B200000}"/>
    <cellStyle name="Normal 9 5 2 5 3 2" xfId="15047" xr:uid="{94BD7124-7400-4D05-BDE3-9BB0C43D24D2}"/>
    <cellStyle name="Normal 9 5 2 5 4" xfId="10834" xr:uid="{9EBAB9B9-DBB0-47EF-AE52-71D1E5F8784D}"/>
    <cellStyle name="Normal 9 5 2 6" xfId="2682" xr:uid="{00000000-0005-0000-0000-00005C200000}"/>
    <cellStyle name="Normal 9 5 2 6 2" xfId="6965" xr:uid="{00000000-0005-0000-0000-00005D200000}"/>
    <cellStyle name="Normal 9 5 2 6 2 2" xfId="15460" xr:uid="{3C51D122-0954-47FA-B86A-F1B69435FB84}"/>
    <cellStyle name="Normal 9 5 2 6 3" xfId="11247" xr:uid="{D71B648F-1846-4BFD-8D44-2899A778BF61}"/>
    <cellStyle name="Normal 9 5 2 7" xfId="4900" xr:uid="{00000000-0005-0000-0000-00005E200000}"/>
    <cellStyle name="Normal 9 5 2 7 2" xfId="13395" xr:uid="{7E5D371A-FAAB-4429-8647-2AA5F3C2525E}"/>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2 2 2" xfId="15952" xr:uid="{D9944824-23E4-4BED-96F2-FC341E3AD43E}"/>
    <cellStyle name="Normal 9 5 3 2 3" xfId="11739" xr:uid="{D6323038-ADE1-407C-B4E9-CBB36B79895E}"/>
    <cellStyle name="Normal 9 5 3 3" xfId="5312" xr:uid="{00000000-0005-0000-0000-000062200000}"/>
    <cellStyle name="Normal 9 5 3 3 2" xfId="13807" xr:uid="{5B60FB40-8A88-43F3-B80C-C59EFC9AFE29}"/>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2 2 2" xfId="16365" xr:uid="{FA631FAD-CC9F-45DA-AA87-727FEEA605FC}"/>
    <cellStyle name="Normal 9 5 4 2 3" xfId="12152" xr:uid="{6A398FF3-3DF0-4A05-ACDF-2C4A42C327B0}"/>
    <cellStyle name="Normal 9 5 4 3" xfId="5725" xr:uid="{00000000-0005-0000-0000-000066200000}"/>
    <cellStyle name="Normal 9 5 4 3 2" xfId="14220" xr:uid="{A34BBFB1-547F-47A3-A6B6-8458809A2005}"/>
    <cellStyle name="Normal 9 5 4 4" xfId="10007" xr:uid="{481277D1-AEE3-413C-B0EE-435D962D40BF}"/>
    <cellStyle name="Normal 9 5 5" xfId="1831" xr:uid="{00000000-0005-0000-0000-000067200000}"/>
    <cellStyle name="Normal 9 5 5 2" xfId="4061" xr:uid="{00000000-0005-0000-0000-000068200000}"/>
    <cellStyle name="Normal 9 5 5 2 2" xfId="8283" xr:uid="{00000000-0005-0000-0000-000069200000}"/>
    <cellStyle name="Normal 9 5 5 2 2 2" xfId="16778" xr:uid="{9D20C4F5-FA2B-492C-82D9-3341BAF55AC1}"/>
    <cellStyle name="Normal 9 5 5 2 3" xfId="12565" xr:uid="{6824AF01-65BE-467C-A30C-434520874ABC}"/>
    <cellStyle name="Normal 9 5 5 3" xfId="6138" xr:uid="{00000000-0005-0000-0000-00006A200000}"/>
    <cellStyle name="Normal 9 5 5 3 2" xfId="14633" xr:uid="{EB7920B0-0042-4345-88E4-9BA14AD9A051}"/>
    <cellStyle name="Normal 9 5 5 4" xfId="10420" xr:uid="{0D36A937-5784-4A2C-A72E-10775E936BDB}"/>
    <cellStyle name="Normal 9 5 6" xfId="2245" xr:uid="{00000000-0005-0000-0000-00006B200000}"/>
    <cellStyle name="Normal 9 5 6 2" xfId="4474" xr:uid="{00000000-0005-0000-0000-00006C200000}"/>
    <cellStyle name="Normal 9 5 6 2 2" xfId="8696" xr:uid="{00000000-0005-0000-0000-00006D200000}"/>
    <cellStyle name="Normal 9 5 6 2 2 2" xfId="17191" xr:uid="{10B5225F-240C-4B9B-84DF-3DB85F327D4F}"/>
    <cellStyle name="Normal 9 5 6 2 3" xfId="12978" xr:uid="{0B5E3202-25D1-45D2-9C09-026718B2380C}"/>
    <cellStyle name="Normal 9 5 6 3" xfId="6551" xr:uid="{00000000-0005-0000-0000-00006E200000}"/>
    <cellStyle name="Normal 9 5 6 3 2" xfId="15046" xr:uid="{559A3968-EB92-46F2-8926-C33B801D3324}"/>
    <cellStyle name="Normal 9 5 6 4" xfId="10833" xr:uid="{E53416EA-4854-4218-AE9F-27EEC6E3FCE3}"/>
    <cellStyle name="Normal 9 5 7" xfId="2681" xr:uid="{00000000-0005-0000-0000-00006F200000}"/>
    <cellStyle name="Normal 9 5 7 2" xfId="6964" xr:uid="{00000000-0005-0000-0000-000070200000}"/>
    <cellStyle name="Normal 9 5 7 2 2" xfId="15459" xr:uid="{71870AE8-2632-4E0B-8267-1F1D84F57DDD}"/>
    <cellStyle name="Normal 9 5 7 3" xfId="11246" xr:uid="{D82F34AD-C752-46F5-8F2A-8AD9F2665262}"/>
    <cellStyle name="Normal 9 5 8" xfId="4899" xr:uid="{00000000-0005-0000-0000-000071200000}"/>
    <cellStyle name="Normal 9 5 8 2" xfId="13394" xr:uid="{73F5EFAA-ADE4-448D-B848-239090972EA8}"/>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54" xr:uid="{EAA69CF6-AD5C-4F74-AE32-11379217821A}"/>
    <cellStyle name="Normal 9 6 2 2 3" xfId="11741" xr:uid="{69122D3A-A1A9-42C3-832C-0B2D318B086A}"/>
    <cellStyle name="Normal 9 6 2 3" xfId="5314" xr:uid="{00000000-0005-0000-0000-000076200000}"/>
    <cellStyle name="Normal 9 6 2 3 2" xfId="13809" xr:uid="{D8AF48C1-B77A-46ED-91D2-A79570A9F777}"/>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2 2 2" xfId="16367" xr:uid="{2B3172AE-8D11-43ED-88F6-92F0B127E71C}"/>
    <cellStyle name="Normal 9 6 3 2 3" xfId="12154" xr:uid="{E55BC8CA-A1A0-4BA5-9372-D3BE773EDE4A}"/>
    <cellStyle name="Normal 9 6 3 3" xfId="5727" xr:uid="{00000000-0005-0000-0000-00007A200000}"/>
    <cellStyle name="Normal 9 6 3 3 2" xfId="14222" xr:uid="{D051840F-04AB-4197-A714-FB4D47CB2FA3}"/>
    <cellStyle name="Normal 9 6 3 4" xfId="10009" xr:uid="{0275E3F1-D45D-4EF4-938F-A9F30B79331A}"/>
    <cellStyle name="Normal 9 6 4" xfId="1833" xr:uid="{00000000-0005-0000-0000-00007B200000}"/>
    <cellStyle name="Normal 9 6 4 2" xfId="4063" xr:uid="{00000000-0005-0000-0000-00007C200000}"/>
    <cellStyle name="Normal 9 6 4 2 2" xfId="8285" xr:uid="{00000000-0005-0000-0000-00007D200000}"/>
    <cellStyle name="Normal 9 6 4 2 2 2" xfId="16780" xr:uid="{3562BE34-2102-4EDF-8011-9DBB452F1254}"/>
    <cellStyle name="Normal 9 6 4 2 3" xfId="12567" xr:uid="{146787FD-10D0-47B3-8334-90F9F7A3CBD1}"/>
    <cellStyle name="Normal 9 6 4 3" xfId="6140" xr:uid="{00000000-0005-0000-0000-00007E200000}"/>
    <cellStyle name="Normal 9 6 4 3 2" xfId="14635" xr:uid="{6346EAB2-1E0D-40B7-889D-A142CE19D158}"/>
    <cellStyle name="Normal 9 6 4 4" xfId="10422" xr:uid="{52C8CD41-5AFC-49F8-B221-06E6D8F23859}"/>
    <cellStyle name="Normal 9 6 5" xfId="2247" xr:uid="{00000000-0005-0000-0000-00007F200000}"/>
    <cellStyle name="Normal 9 6 5 2" xfId="4476" xr:uid="{00000000-0005-0000-0000-000080200000}"/>
    <cellStyle name="Normal 9 6 5 2 2" xfId="8698" xr:uid="{00000000-0005-0000-0000-000081200000}"/>
    <cellStyle name="Normal 9 6 5 2 2 2" xfId="17193" xr:uid="{88657696-AF08-41D0-9397-8204F1A6476C}"/>
    <cellStyle name="Normal 9 6 5 2 3" xfId="12980" xr:uid="{5993610D-426D-4312-9246-D324B0BF86A8}"/>
    <cellStyle name="Normal 9 6 5 3" xfId="6553" xr:uid="{00000000-0005-0000-0000-000082200000}"/>
    <cellStyle name="Normal 9 6 5 3 2" xfId="15048" xr:uid="{F9CEF497-5749-44BE-BF2C-6507ADC5B338}"/>
    <cellStyle name="Normal 9 6 5 4" xfId="10835" xr:uid="{F289CFDB-DB58-475E-839E-20C45E5DA908}"/>
    <cellStyle name="Normal 9 6 6" xfId="2683" xr:uid="{00000000-0005-0000-0000-000083200000}"/>
    <cellStyle name="Normal 9 6 6 2" xfId="6966" xr:uid="{00000000-0005-0000-0000-000084200000}"/>
    <cellStyle name="Normal 9 6 6 2 2" xfId="15461" xr:uid="{AC91F208-428C-467B-8459-0FD33C3072CB}"/>
    <cellStyle name="Normal 9 6 6 3" xfId="11248" xr:uid="{459A39C8-AAA1-4B19-8A59-E84A53C40874}"/>
    <cellStyle name="Normal 9 6 7" xfId="4901" xr:uid="{00000000-0005-0000-0000-000085200000}"/>
    <cellStyle name="Normal 9 6 7 2" xfId="13396" xr:uid="{0D55000E-EEE0-4AF5-8766-446F14A048EE}"/>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542" xr:uid="{321D681C-55F9-4664-B679-50EA774CDD64}"/>
    <cellStyle name="Note 2 2 10 3" xfId="11329" xr:uid="{B9DAA463-C1AC-4AFD-AA63-68C76E4C52BC}"/>
    <cellStyle name="Note 2 2 11" xfId="4902" xr:uid="{00000000-0005-0000-0000-000094200000}"/>
    <cellStyle name="Note 2 2 11 2" xfId="13397" xr:uid="{98CEB38A-1C74-4351-AADD-B1265C18C2E7}"/>
    <cellStyle name="Note 2 2 12" xfId="8841" xr:uid="{E94E1FD8-31C4-4718-9658-C7A587CBF323}"/>
    <cellStyle name="Note 2 2 2" xfId="546" xr:uid="{00000000-0005-0000-0000-000095200000}"/>
    <cellStyle name="Note 2 2 2 10" xfId="4903" xr:uid="{00000000-0005-0000-0000-000096200000}"/>
    <cellStyle name="Note 2 2 2 10 2" xfId="13398" xr:uid="{7CE7722D-C1E2-4C2C-B4B0-FE7348432B7B}"/>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2 2 2" xfId="15957" xr:uid="{9DB67336-F0D3-4066-B89F-EADA7B889D1B}"/>
    <cellStyle name="Note 2 2 2 2 2 2 3" xfId="11744" xr:uid="{0A0DFAFC-C782-410E-9E6C-147B1438708C}"/>
    <cellStyle name="Note 2 2 2 2 2 3" xfId="5317" xr:uid="{00000000-0005-0000-0000-00009B200000}"/>
    <cellStyle name="Note 2 2 2 2 2 3 2" xfId="13812" xr:uid="{5CBEFED9-E02E-44F3-B032-F2F593689A1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2 2 2" xfId="16370" xr:uid="{97F15C43-FB66-487D-B53D-130E5EBD7EC5}"/>
    <cellStyle name="Note 2 2 2 2 3 2 3" xfId="12157" xr:uid="{BC7FB60E-EB8F-4652-B6A0-B03B17CD3F64}"/>
    <cellStyle name="Note 2 2 2 2 3 3" xfId="5730" xr:uid="{00000000-0005-0000-0000-00009F200000}"/>
    <cellStyle name="Note 2 2 2 2 3 3 2" xfId="14225" xr:uid="{697F2806-2198-49A1-934C-86BD3143F914}"/>
    <cellStyle name="Note 2 2 2 2 3 4" xfId="10012" xr:uid="{3289F721-1517-4C22-BECF-3EE4079042C5}"/>
    <cellStyle name="Note 2 2 2 2 4" xfId="1837" xr:uid="{00000000-0005-0000-0000-0000A0200000}"/>
    <cellStyle name="Note 2 2 2 2 4 2" xfId="4066" xr:uid="{00000000-0005-0000-0000-0000A1200000}"/>
    <cellStyle name="Note 2 2 2 2 4 2 2" xfId="8288" xr:uid="{00000000-0005-0000-0000-0000A2200000}"/>
    <cellStyle name="Note 2 2 2 2 4 2 2 2" xfId="16783" xr:uid="{A6C3DB08-5542-4E9C-84BD-4A6F328BD393}"/>
    <cellStyle name="Note 2 2 2 2 4 2 3" xfId="12570" xr:uid="{28490DF2-59FA-48A1-B163-35CF6695546D}"/>
    <cellStyle name="Note 2 2 2 2 4 3" xfId="6143" xr:uid="{00000000-0005-0000-0000-0000A3200000}"/>
    <cellStyle name="Note 2 2 2 2 4 3 2" xfId="14638" xr:uid="{7659865B-ED44-46F8-B92C-5FDD02962879}"/>
    <cellStyle name="Note 2 2 2 2 4 4" xfId="10425" xr:uid="{2DA51F73-8108-45B8-AA87-CF17D0E253A8}"/>
    <cellStyle name="Note 2 2 2 2 5" xfId="2250" xr:uid="{00000000-0005-0000-0000-0000A4200000}"/>
    <cellStyle name="Note 2 2 2 2 5 2" xfId="4479" xr:uid="{00000000-0005-0000-0000-0000A5200000}"/>
    <cellStyle name="Note 2 2 2 2 5 2 2" xfId="8701" xr:uid="{00000000-0005-0000-0000-0000A6200000}"/>
    <cellStyle name="Note 2 2 2 2 5 2 2 2" xfId="17196" xr:uid="{C538C058-5491-4BF0-A184-8D30536E8EB3}"/>
    <cellStyle name="Note 2 2 2 2 5 2 3" xfId="12983" xr:uid="{E6F9E039-9191-4967-A2A8-B15BCF85E60D}"/>
    <cellStyle name="Note 2 2 2 2 5 3" xfId="6556" xr:uid="{00000000-0005-0000-0000-0000A7200000}"/>
    <cellStyle name="Note 2 2 2 2 5 3 2" xfId="15051" xr:uid="{9BD9A173-250E-48C0-8869-BA2A75471E67}"/>
    <cellStyle name="Note 2 2 2 2 5 4" xfId="10838" xr:uid="{1E6A45E7-7146-4F9D-B09A-2D7311219E85}"/>
    <cellStyle name="Note 2 2 2 2 6" xfId="2686" xr:uid="{00000000-0005-0000-0000-0000A8200000}"/>
    <cellStyle name="Note 2 2 2 2 6 2" xfId="6969" xr:uid="{00000000-0005-0000-0000-0000A9200000}"/>
    <cellStyle name="Note 2 2 2 2 6 2 2" xfId="15464" xr:uid="{A8F4D5A6-D1F8-4255-9DCE-F716A4003FB9}"/>
    <cellStyle name="Note 2 2 2 2 6 3" xfId="11251" xr:uid="{A274BA1A-FEC1-4F7B-9D66-C9F240B262F2}"/>
    <cellStyle name="Note 2 2 2 2 7" xfId="2745" xr:uid="{00000000-0005-0000-0000-0000AA200000}"/>
    <cellStyle name="Note 2 2 2 2 8" xfId="2826" xr:uid="{00000000-0005-0000-0000-0000AB200000}"/>
    <cellStyle name="Note 2 2 2 2 8 2" xfId="7049" xr:uid="{00000000-0005-0000-0000-0000AC200000}"/>
    <cellStyle name="Note 2 2 2 2 8 2 2" xfId="15544" xr:uid="{D6920D1D-62C3-4BB1-8F87-D8F5D08197CC}"/>
    <cellStyle name="Note 2 2 2 2 8 3" xfId="11331" xr:uid="{034C972D-D3E1-46BA-A35B-E5050BA30AD5}"/>
    <cellStyle name="Note 2 2 2 2 9" xfId="4904" xr:uid="{00000000-0005-0000-0000-0000AD200000}"/>
    <cellStyle name="Note 2 2 2 2 9 2" xfId="13399" xr:uid="{2DF595EE-78B7-4F1C-B7AA-120D50A95C07}"/>
    <cellStyle name="Note 2 2 2 3" xfId="1007" xr:uid="{00000000-0005-0000-0000-0000AE200000}"/>
    <cellStyle name="Note 2 2 2 3 2" xfId="3239" xr:uid="{00000000-0005-0000-0000-0000AF200000}"/>
    <cellStyle name="Note 2 2 2 3 2 2" xfId="7461" xr:uid="{00000000-0005-0000-0000-0000B0200000}"/>
    <cellStyle name="Note 2 2 2 3 2 2 2" xfId="15956" xr:uid="{FAA6F574-EC31-4D7F-A9E6-2683500EDCF4}"/>
    <cellStyle name="Note 2 2 2 3 2 3" xfId="11743" xr:uid="{B4C951FB-4012-4A7A-8572-0060397180D3}"/>
    <cellStyle name="Note 2 2 2 3 3" xfId="5316" xr:uid="{00000000-0005-0000-0000-0000B1200000}"/>
    <cellStyle name="Note 2 2 2 3 3 2" xfId="13811" xr:uid="{8308C060-6E57-4765-8409-22F751F59598}"/>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2 2 2" xfId="16369" xr:uid="{7E3014E1-7628-4112-8D39-B965A8E99C6D}"/>
    <cellStyle name="Note 2 2 2 4 2 3" xfId="12156" xr:uid="{5D317937-1420-4E50-A60C-10380EE07848}"/>
    <cellStyle name="Note 2 2 2 4 3" xfId="5729" xr:uid="{00000000-0005-0000-0000-0000B5200000}"/>
    <cellStyle name="Note 2 2 2 4 3 2" xfId="14224" xr:uid="{3C46EC5C-16AE-4D0F-B93E-C87A6CCB8AC3}"/>
    <cellStyle name="Note 2 2 2 4 4" xfId="10011" xr:uid="{5E58E1A6-818F-4C1D-8F2F-239EB75DD1A5}"/>
    <cellStyle name="Note 2 2 2 5" xfId="1836" xr:uid="{00000000-0005-0000-0000-0000B6200000}"/>
    <cellStyle name="Note 2 2 2 5 2" xfId="4065" xr:uid="{00000000-0005-0000-0000-0000B7200000}"/>
    <cellStyle name="Note 2 2 2 5 2 2" xfId="8287" xr:uid="{00000000-0005-0000-0000-0000B8200000}"/>
    <cellStyle name="Note 2 2 2 5 2 2 2" xfId="16782" xr:uid="{E40D6027-28E8-4F24-B648-A0ADAFFC6C1A}"/>
    <cellStyle name="Note 2 2 2 5 2 3" xfId="12569" xr:uid="{861E08C5-B12D-4A24-A1D7-BC389E056B27}"/>
    <cellStyle name="Note 2 2 2 5 3" xfId="6142" xr:uid="{00000000-0005-0000-0000-0000B9200000}"/>
    <cellStyle name="Note 2 2 2 5 3 2" xfId="14637" xr:uid="{54B05120-6BAD-4D03-80B3-8A1C161EF814}"/>
    <cellStyle name="Note 2 2 2 5 4" xfId="10424" xr:uid="{39D4E5B6-E8DE-4F34-9B85-F701095521E1}"/>
    <cellStyle name="Note 2 2 2 6" xfId="2249" xr:uid="{00000000-0005-0000-0000-0000BA200000}"/>
    <cellStyle name="Note 2 2 2 6 2" xfId="4478" xr:uid="{00000000-0005-0000-0000-0000BB200000}"/>
    <cellStyle name="Note 2 2 2 6 2 2" xfId="8700" xr:uid="{00000000-0005-0000-0000-0000BC200000}"/>
    <cellStyle name="Note 2 2 2 6 2 2 2" xfId="17195" xr:uid="{C85ADC79-DA35-40D7-AA37-BF8A21688F60}"/>
    <cellStyle name="Note 2 2 2 6 2 3" xfId="12982" xr:uid="{2F5D5C1E-1E75-466E-923B-BC4C1A79D808}"/>
    <cellStyle name="Note 2 2 2 6 3" xfId="6555" xr:uid="{00000000-0005-0000-0000-0000BD200000}"/>
    <cellStyle name="Note 2 2 2 6 3 2" xfId="15050" xr:uid="{F595B621-B701-4644-B307-4E9513999E34}"/>
    <cellStyle name="Note 2 2 2 6 4" xfId="10837" xr:uid="{91E8096C-828F-4FD7-88EF-E11B602A0693}"/>
    <cellStyle name="Note 2 2 2 7" xfId="2685" xr:uid="{00000000-0005-0000-0000-0000BE200000}"/>
    <cellStyle name="Note 2 2 2 7 2" xfId="6968" xr:uid="{00000000-0005-0000-0000-0000BF200000}"/>
    <cellStyle name="Note 2 2 2 7 2 2" xfId="15463" xr:uid="{3306AD8C-7AA4-4E14-93A8-AE9D06A625D6}"/>
    <cellStyle name="Note 2 2 2 7 3" xfId="11250" xr:uid="{1D0E5A7E-0448-444D-8C4E-919874C3F39A}"/>
    <cellStyle name="Note 2 2 2 8" xfId="2744" xr:uid="{00000000-0005-0000-0000-0000C0200000}"/>
    <cellStyle name="Note 2 2 2 9" xfId="2825" xr:uid="{00000000-0005-0000-0000-0000C1200000}"/>
    <cellStyle name="Note 2 2 2 9 2" xfId="7048" xr:uid="{00000000-0005-0000-0000-0000C2200000}"/>
    <cellStyle name="Note 2 2 2 9 2 2" xfId="15543" xr:uid="{DF1CDCC2-DE9D-41DB-AB33-D92C1047897E}"/>
    <cellStyle name="Note 2 2 2 9 3" xfId="11330" xr:uid="{8523A5F4-3547-4D69-AFE1-F3F05EAFF445}"/>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2 2 2" xfId="15958" xr:uid="{E78A70A9-A482-4C8B-A126-29D6829E015D}"/>
    <cellStyle name="Note 2 2 3 2 2 3" xfId="11745" xr:uid="{A39CFEAD-ADD7-4B8D-AC27-E664F887A169}"/>
    <cellStyle name="Note 2 2 3 2 3" xfId="5318" xr:uid="{00000000-0005-0000-0000-0000C7200000}"/>
    <cellStyle name="Note 2 2 3 2 3 2" xfId="13813" xr:uid="{112342E6-BB36-465F-9536-D42CBA7FE26A}"/>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2 2 2" xfId="16371" xr:uid="{F445E5F1-A0FE-4B6B-9C55-026F0868E677}"/>
    <cellStyle name="Note 2 2 3 3 2 3" xfId="12158" xr:uid="{A03FED91-DD15-4830-8CE7-B9E7496E2FD0}"/>
    <cellStyle name="Note 2 2 3 3 3" xfId="5731" xr:uid="{00000000-0005-0000-0000-0000CB200000}"/>
    <cellStyle name="Note 2 2 3 3 3 2" xfId="14226" xr:uid="{22B683E7-0378-42AE-9BAE-724F416F3ECE}"/>
    <cellStyle name="Note 2 2 3 3 4" xfId="10013" xr:uid="{091F18B4-0169-45EB-B027-8757F2AC7561}"/>
    <cellStyle name="Note 2 2 3 4" xfId="1838" xr:uid="{00000000-0005-0000-0000-0000CC200000}"/>
    <cellStyle name="Note 2 2 3 4 2" xfId="4067" xr:uid="{00000000-0005-0000-0000-0000CD200000}"/>
    <cellStyle name="Note 2 2 3 4 2 2" xfId="8289" xr:uid="{00000000-0005-0000-0000-0000CE200000}"/>
    <cellStyle name="Note 2 2 3 4 2 2 2" xfId="16784" xr:uid="{34E10B67-C905-4DA2-9996-9FFE9B152E9C}"/>
    <cellStyle name="Note 2 2 3 4 2 3" xfId="12571" xr:uid="{4B3B92E3-BFF0-4527-AF46-BF9D8D69B022}"/>
    <cellStyle name="Note 2 2 3 4 3" xfId="6144" xr:uid="{00000000-0005-0000-0000-0000CF200000}"/>
    <cellStyle name="Note 2 2 3 4 3 2" xfId="14639" xr:uid="{0D4906A0-B557-4852-AB71-71621CC681E1}"/>
    <cellStyle name="Note 2 2 3 4 4" xfId="10426" xr:uid="{BAD5267A-9CCE-49AC-BFCC-8FA7AA5D8926}"/>
    <cellStyle name="Note 2 2 3 5" xfId="2251" xr:uid="{00000000-0005-0000-0000-0000D0200000}"/>
    <cellStyle name="Note 2 2 3 5 2" xfId="4480" xr:uid="{00000000-0005-0000-0000-0000D1200000}"/>
    <cellStyle name="Note 2 2 3 5 2 2" xfId="8702" xr:uid="{00000000-0005-0000-0000-0000D2200000}"/>
    <cellStyle name="Note 2 2 3 5 2 2 2" xfId="17197" xr:uid="{658B939A-4968-4384-8EC1-1F1F1E700BD9}"/>
    <cellStyle name="Note 2 2 3 5 2 3" xfId="12984" xr:uid="{ADCC68C2-AB36-42AF-AD37-76BEBD8DCFD7}"/>
    <cellStyle name="Note 2 2 3 5 3" xfId="6557" xr:uid="{00000000-0005-0000-0000-0000D3200000}"/>
    <cellStyle name="Note 2 2 3 5 3 2" xfId="15052" xr:uid="{A1B5FF31-FD1C-4B28-B00D-53050F974BBB}"/>
    <cellStyle name="Note 2 2 3 5 4" xfId="10839" xr:uid="{22B8FF40-3E12-4FD5-B567-B4D5E76FBCD4}"/>
    <cellStyle name="Note 2 2 3 6" xfId="2687" xr:uid="{00000000-0005-0000-0000-0000D4200000}"/>
    <cellStyle name="Note 2 2 3 6 2" xfId="6970" xr:uid="{00000000-0005-0000-0000-0000D5200000}"/>
    <cellStyle name="Note 2 2 3 6 2 2" xfId="15465" xr:uid="{0658A01D-E087-4138-B69C-5F0793393946}"/>
    <cellStyle name="Note 2 2 3 6 3" xfId="11252" xr:uid="{BC3CC712-58C4-46BF-815E-E9C0B4DF24D0}"/>
    <cellStyle name="Note 2 2 3 7" xfId="2746" xr:uid="{00000000-0005-0000-0000-0000D6200000}"/>
    <cellStyle name="Note 2 2 3 8" xfId="2827" xr:uid="{00000000-0005-0000-0000-0000D7200000}"/>
    <cellStyle name="Note 2 2 3 8 2" xfId="7050" xr:uid="{00000000-0005-0000-0000-0000D8200000}"/>
    <cellStyle name="Note 2 2 3 8 2 2" xfId="15545" xr:uid="{A9DE3E6C-201C-4FC3-8322-1C3D24E5874C}"/>
    <cellStyle name="Note 2 2 3 8 3" xfId="11332" xr:uid="{20C1E1DF-9717-4166-ACAB-5EE0A1E54873}"/>
    <cellStyle name="Note 2 2 3 9" xfId="4905" xr:uid="{00000000-0005-0000-0000-0000D9200000}"/>
    <cellStyle name="Note 2 2 3 9 2" xfId="13400" xr:uid="{D7C48538-D3E0-462A-A5E8-684AC33000E0}"/>
    <cellStyle name="Note 2 2 4" xfId="1006" xr:uid="{00000000-0005-0000-0000-0000DA200000}"/>
    <cellStyle name="Note 2 2 4 2" xfId="3238" xr:uid="{00000000-0005-0000-0000-0000DB200000}"/>
    <cellStyle name="Note 2 2 4 2 2" xfId="7460" xr:uid="{00000000-0005-0000-0000-0000DC200000}"/>
    <cellStyle name="Note 2 2 4 2 2 2" xfId="15955" xr:uid="{3EA48F1F-CF36-4C49-A478-3BB8FE527B91}"/>
    <cellStyle name="Note 2 2 4 2 3" xfId="11742" xr:uid="{DD608729-2036-48FC-B12D-ED7FDB03BDF3}"/>
    <cellStyle name="Note 2 2 4 3" xfId="5315" xr:uid="{00000000-0005-0000-0000-0000DD200000}"/>
    <cellStyle name="Note 2 2 4 3 2" xfId="13810" xr:uid="{82994EC1-791C-4623-B61F-B925F0EC63E4}"/>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2 2 2" xfId="16368" xr:uid="{C8229EC6-5BA0-430D-9DA6-91E632C70A71}"/>
    <cellStyle name="Note 2 2 5 2 3" xfId="12155" xr:uid="{0DAA9D35-9A7C-490B-B8A9-D231DC80DCEC}"/>
    <cellStyle name="Note 2 2 5 3" xfId="5728" xr:uid="{00000000-0005-0000-0000-0000E1200000}"/>
    <cellStyle name="Note 2 2 5 3 2" xfId="14223" xr:uid="{2BD1E2FD-B2CA-4E27-8E8E-C590E2FE6257}"/>
    <cellStyle name="Note 2 2 5 4" xfId="10010" xr:uid="{63879539-427F-4FF2-A9B2-79320108761F}"/>
    <cellStyle name="Note 2 2 6" xfId="1835" xr:uid="{00000000-0005-0000-0000-0000E2200000}"/>
    <cellStyle name="Note 2 2 6 2" xfId="4064" xr:uid="{00000000-0005-0000-0000-0000E3200000}"/>
    <cellStyle name="Note 2 2 6 2 2" xfId="8286" xr:uid="{00000000-0005-0000-0000-0000E4200000}"/>
    <cellStyle name="Note 2 2 6 2 2 2" xfId="16781" xr:uid="{7687F91C-303B-4237-A4D0-57A4E75D7E46}"/>
    <cellStyle name="Note 2 2 6 2 3" xfId="12568" xr:uid="{B7DA259C-BEEA-46FA-B60B-974261A74CC4}"/>
    <cellStyle name="Note 2 2 6 3" xfId="6141" xr:uid="{00000000-0005-0000-0000-0000E5200000}"/>
    <cellStyle name="Note 2 2 6 3 2" xfId="14636" xr:uid="{C1900B60-954E-4B01-950D-6F56E772A070}"/>
    <cellStyle name="Note 2 2 6 4" xfId="10423" xr:uid="{BC49F6E0-E70A-4520-BEA4-BC1B051853E0}"/>
    <cellStyle name="Note 2 2 7" xfId="2248" xr:uid="{00000000-0005-0000-0000-0000E6200000}"/>
    <cellStyle name="Note 2 2 7 2" xfId="4477" xr:uid="{00000000-0005-0000-0000-0000E7200000}"/>
    <cellStyle name="Note 2 2 7 2 2" xfId="8699" xr:uid="{00000000-0005-0000-0000-0000E8200000}"/>
    <cellStyle name="Note 2 2 7 2 2 2" xfId="17194" xr:uid="{64603A6D-A03D-4BC8-8233-CC9DE9660A66}"/>
    <cellStyle name="Note 2 2 7 2 3" xfId="12981" xr:uid="{9473FAF3-5E94-4F23-869E-7D9EE1FBEE9C}"/>
    <cellStyle name="Note 2 2 7 3" xfId="6554" xr:uid="{00000000-0005-0000-0000-0000E9200000}"/>
    <cellStyle name="Note 2 2 7 3 2" xfId="15049" xr:uid="{CE903BCE-4915-4C47-B0C5-DD32D0365680}"/>
    <cellStyle name="Note 2 2 7 4" xfId="10836" xr:uid="{D5AB88D9-A339-4D48-ABD2-9ECFAB7BF2BB}"/>
    <cellStyle name="Note 2 2 8" xfId="2684" xr:uid="{00000000-0005-0000-0000-0000EA200000}"/>
    <cellStyle name="Note 2 2 8 2" xfId="6967" xr:uid="{00000000-0005-0000-0000-0000EB200000}"/>
    <cellStyle name="Note 2 2 8 2 2" xfId="15462" xr:uid="{FDB645A6-D369-4E4B-9F02-6EC90C2A8D7A}"/>
    <cellStyle name="Note 2 2 8 3" xfId="11249" xr:uid="{FFA58FCF-DB25-4F34-BB8A-77BF0320A1DB}"/>
    <cellStyle name="Note 2 2 9" xfId="2743" xr:uid="{00000000-0005-0000-0000-0000EC200000}"/>
    <cellStyle name="Note 2 3" xfId="549" xr:uid="{00000000-0005-0000-0000-0000ED200000}"/>
    <cellStyle name="Note 2 3 10" xfId="4906" xr:uid="{00000000-0005-0000-0000-0000EE200000}"/>
    <cellStyle name="Note 2 3 10 2" xfId="13401" xr:uid="{AC2D7675-A241-4144-BCCA-F18ECE2F7335}"/>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2 2 2" xfId="15960" xr:uid="{10A58464-2ED8-4EB1-A709-A6D7263EFC5B}"/>
    <cellStyle name="Note 2 3 2 2 2 3" xfId="11747" xr:uid="{B912D5CD-0CEF-49C8-9F59-2D27F30A5885}"/>
    <cellStyle name="Note 2 3 2 2 3" xfId="5320" xr:uid="{00000000-0005-0000-0000-0000F3200000}"/>
    <cellStyle name="Note 2 3 2 2 3 2" xfId="13815" xr:uid="{2D4ECB09-1FFD-4467-BF1E-EE9E70C3485F}"/>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2 2 2" xfId="16373" xr:uid="{2AEF53D2-8761-44A1-89E0-50AFF6AB927A}"/>
    <cellStyle name="Note 2 3 2 3 2 3" xfId="12160" xr:uid="{77F7A80B-4FD4-40BF-B83F-AD828721D8E0}"/>
    <cellStyle name="Note 2 3 2 3 3" xfId="5733" xr:uid="{00000000-0005-0000-0000-0000F7200000}"/>
    <cellStyle name="Note 2 3 2 3 3 2" xfId="14228" xr:uid="{FEA46EC6-953E-412A-8F82-C1078BDB1D11}"/>
    <cellStyle name="Note 2 3 2 3 4" xfId="10015" xr:uid="{5F379A4A-1DBE-47AD-852A-F7878B8A4213}"/>
    <cellStyle name="Note 2 3 2 4" xfId="1840" xr:uid="{00000000-0005-0000-0000-0000F8200000}"/>
    <cellStyle name="Note 2 3 2 4 2" xfId="4069" xr:uid="{00000000-0005-0000-0000-0000F9200000}"/>
    <cellStyle name="Note 2 3 2 4 2 2" xfId="8291" xr:uid="{00000000-0005-0000-0000-0000FA200000}"/>
    <cellStyle name="Note 2 3 2 4 2 2 2" xfId="16786" xr:uid="{33C75020-4404-4ADA-9A7F-44E932332A22}"/>
    <cellStyle name="Note 2 3 2 4 2 3" xfId="12573" xr:uid="{797B198B-FB78-4DA2-9FD7-31435390F986}"/>
    <cellStyle name="Note 2 3 2 4 3" xfId="6146" xr:uid="{00000000-0005-0000-0000-0000FB200000}"/>
    <cellStyle name="Note 2 3 2 4 3 2" xfId="14641" xr:uid="{624AB154-6561-4C01-9721-9D2CC7694733}"/>
    <cellStyle name="Note 2 3 2 4 4" xfId="10428" xr:uid="{471E39B9-1DDB-426A-BBC7-9E654AA31D35}"/>
    <cellStyle name="Note 2 3 2 5" xfId="2253" xr:uid="{00000000-0005-0000-0000-0000FC200000}"/>
    <cellStyle name="Note 2 3 2 5 2" xfId="4482" xr:uid="{00000000-0005-0000-0000-0000FD200000}"/>
    <cellStyle name="Note 2 3 2 5 2 2" xfId="8704" xr:uid="{00000000-0005-0000-0000-0000FE200000}"/>
    <cellStyle name="Note 2 3 2 5 2 2 2" xfId="17199" xr:uid="{1F162ADD-0F1C-468C-82BF-6B4E1BB32DCF}"/>
    <cellStyle name="Note 2 3 2 5 2 3" xfId="12986" xr:uid="{48084330-C257-4159-854D-D85591664F90}"/>
    <cellStyle name="Note 2 3 2 5 3" xfId="6559" xr:uid="{00000000-0005-0000-0000-0000FF200000}"/>
    <cellStyle name="Note 2 3 2 5 3 2" xfId="15054" xr:uid="{73E6CCB7-8385-4AF1-AF30-5A54BDF5B3FE}"/>
    <cellStyle name="Note 2 3 2 5 4" xfId="10841" xr:uid="{004305FE-5CF9-40E2-BD41-68F95AAA019E}"/>
    <cellStyle name="Note 2 3 2 6" xfId="2689" xr:uid="{00000000-0005-0000-0000-000000210000}"/>
    <cellStyle name="Note 2 3 2 6 2" xfId="6972" xr:uid="{00000000-0005-0000-0000-000001210000}"/>
    <cellStyle name="Note 2 3 2 6 2 2" xfId="15467" xr:uid="{CB250A23-19AE-48F7-BA70-21EB0652A62B}"/>
    <cellStyle name="Note 2 3 2 6 3" xfId="11254" xr:uid="{68E99D64-1EBA-4146-8E93-770A6A8A6711}"/>
    <cellStyle name="Note 2 3 2 7" xfId="2748" xr:uid="{00000000-0005-0000-0000-000002210000}"/>
    <cellStyle name="Note 2 3 2 8" xfId="2829" xr:uid="{00000000-0005-0000-0000-000003210000}"/>
    <cellStyle name="Note 2 3 2 8 2" xfId="7052" xr:uid="{00000000-0005-0000-0000-000004210000}"/>
    <cellStyle name="Note 2 3 2 8 2 2" xfId="15547" xr:uid="{CDBE364D-7AB6-44AB-92CD-01AF2FB7C386}"/>
    <cellStyle name="Note 2 3 2 8 3" xfId="11334" xr:uid="{E9F4E5E6-B511-4640-8147-D537D8770C21}"/>
    <cellStyle name="Note 2 3 2 9" xfId="4907" xr:uid="{00000000-0005-0000-0000-000005210000}"/>
    <cellStyle name="Note 2 3 2 9 2" xfId="13402" xr:uid="{39498452-5875-49C1-9B79-B27CC65DB9FE}"/>
    <cellStyle name="Note 2 3 3" xfId="1010" xr:uid="{00000000-0005-0000-0000-000006210000}"/>
    <cellStyle name="Note 2 3 3 2" xfId="3242" xr:uid="{00000000-0005-0000-0000-000007210000}"/>
    <cellStyle name="Note 2 3 3 2 2" xfId="7464" xr:uid="{00000000-0005-0000-0000-000008210000}"/>
    <cellStyle name="Note 2 3 3 2 2 2" xfId="15959" xr:uid="{5AAEE7E5-BA8A-4D48-9622-95FDE16CA09E}"/>
    <cellStyle name="Note 2 3 3 2 3" xfId="11746" xr:uid="{A2305EFA-B97E-4FA3-A55E-3570F5EE7CCF}"/>
    <cellStyle name="Note 2 3 3 3" xfId="5319" xr:uid="{00000000-0005-0000-0000-000009210000}"/>
    <cellStyle name="Note 2 3 3 3 2" xfId="13814" xr:uid="{B4E0CAF6-53D2-4457-AE15-722381C6303A}"/>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2 2 2" xfId="16372" xr:uid="{4720CDCB-A55D-4D95-BBE6-84F7C56D82BE}"/>
    <cellStyle name="Note 2 3 4 2 3" xfId="12159" xr:uid="{D0BCE7D2-8C3E-4EBD-AE58-C456E5B8CA53}"/>
    <cellStyle name="Note 2 3 4 3" xfId="5732" xr:uid="{00000000-0005-0000-0000-00000D210000}"/>
    <cellStyle name="Note 2 3 4 3 2" xfId="14227" xr:uid="{F352B76B-D445-4D94-BF90-E62124EA4A7A}"/>
    <cellStyle name="Note 2 3 4 4" xfId="10014" xr:uid="{DFD66912-13B0-4918-B3DC-B5A0BDFFC3F5}"/>
    <cellStyle name="Note 2 3 5" xfId="1839" xr:uid="{00000000-0005-0000-0000-00000E210000}"/>
    <cellStyle name="Note 2 3 5 2" xfId="4068" xr:uid="{00000000-0005-0000-0000-00000F210000}"/>
    <cellStyle name="Note 2 3 5 2 2" xfId="8290" xr:uid="{00000000-0005-0000-0000-000010210000}"/>
    <cellStyle name="Note 2 3 5 2 2 2" xfId="16785" xr:uid="{2FA02BE1-E958-473A-9751-FE23F01B131B}"/>
    <cellStyle name="Note 2 3 5 2 3" xfId="12572" xr:uid="{DFB4542B-B4EC-4D8D-8479-46EFA040B3E2}"/>
    <cellStyle name="Note 2 3 5 3" xfId="6145" xr:uid="{00000000-0005-0000-0000-000011210000}"/>
    <cellStyle name="Note 2 3 5 3 2" xfId="14640" xr:uid="{9534F88F-E482-4417-A49D-CDFD0A982E8D}"/>
    <cellStyle name="Note 2 3 5 4" xfId="10427" xr:uid="{411F435A-9F19-4437-A0B8-8DD11D0CA42B}"/>
    <cellStyle name="Note 2 3 6" xfId="2252" xr:uid="{00000000-0005-0000-0000-000012210000}"/>
    <cellStyle name="Note 2 3 6 2" xfId="4481" xr:uid="{00000000-0005-0000-0000-000013210000}"/>
    <cellStyle name="Note 2 3 6 2 2" xfId="8703" xr:uid="{00000000-0005-0000-0000-000014210000}"/>
    <cellStyle name="Note 2 3 6 2 2 2" xfId="17198" xr:uid="{B112F103-D4C7-4BB2-A062-8218C85B09FE}"/>
    <cellStyle name="Note 2 3 6 2 3" xfId="12985" xr:uid="{36DD50EB-D3A8-4909-BD28-46BB552C46AD}"/>
    <cellStyle name="Note 2 3 6 3" xfId="6558" xr:uid="{00000000-0005-0000-0000-000015210000}"/>
    <cellStyle name="Note 2 3 6 3 2" xfId="15053" xr:uid="{095DFFE0-FBB5-44B0-A6E3-DE0D6FB7C0CC}"/>
    <cellStyle name="Note 2 3 6 4" xfId="10840" xr:uid="{5124DB84-98FE-4EE1-B220-6ECDC03D2FDA}"/>
    <cellStyle name="Note 2 3 7" xfId="2688" xr:uid="{00000000-0005-0000-0000-000016210000}"/>
    <cellStyle name="Note 2 3 7 2" xfId="6971" xr:uid="{00000000-0005-0000-0000-000017210000}"/>
    <cellStyle name="Note 2 3 7 2 2" xfId="15466" xr:uid="{E37C1CC0-1BE1-4D45-8D2B-D0021C254023}"/>
    <cellStyle name="Note 2 3 7 3" xfId="11253" xr:uid="{0C3DE4C4-5572-4589-949A-115D0EAC842C}"/>
    <cellStyle name="Note 2 3 8" xfId="2747" xr:uid="{00000000-0005-0000-0000-000018210000}"/>
    <cellStyle name="Note 2 3 9" xfId="2828" xr:uid="{00000000-0005-0000-0000-000019210000}"/>
    <cellStyle name="Note 2 3 9 2" xfId="7051" xr:uid="{00000000-0005-0000-0000-00001A210000}"/>
    <cellStyle name="Note 2 3 9 2 2" xfId="15546" xr:uid="{867547F2-3F2F-4265-AD3F-22D8F5037E7F}"/>
    <cellStyle name="Note 2 3 9 3" xfId="11333" xr:uid="{3ECD5576-3B71-4A10-B2CB-F2AB3EC6B776}"/>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2 2 2" xfId="15961" xr:uid="{C30B42C6-277A-43D5-910B-103193187D06}"/>
    <cellStyle name="Note 2 4 2 2 3" xfId="11748" xr:uid="{E604BEAB-0B7C-4B19-AC59-146E7A6E42B0}"/>
    <cellStyle name="Note 2 4 2 3" xfId="5321" xr:uid="{00000000-0005-0000-0000-00001F210000}"/>
    <cellStyle name="Note 2 4 2 3 2" xfId="13816" xr:uid="{BED32585-9892-40EB-8016-BBB28F9BABC7}"/>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2 2 2" xfId="16374" xr:uid="{9F14EF1C-87F9-4972-B579-0ACA0BC001EF}"/>
    <cellStyle name="Note 2 4 3 2 3" xfId="12161" xr:uid="{2AD01E25-B85F-4B5A-BBB4-FD0ECAD6645F}"/>
    <cellStyle name="Note 2 4 3 3" xfId="5734" xr:uid="{00000000-0005-0000-0000-000023210000}"/>
    <cellStyle name="Note 2 4 3 3 2" xfId="14229" xr:uid="{ED2B0503-EE09-4AAA-A20D-498105C45543}"/>
    <cellStyle name="Note 2 4 3 4" xfId="10016" xr:uid="{B2AA9925-84B9-4D90-A72B-FB7E7A16A75C}"/>
    <cellStyle name="Note 2 4 4" xfId="1841" xr:uid="{00000000-0005-0000-0000-000024210000}"/>
    <cellStyle name="Note 2 4 4 2" xfId="4070" xr:uid="{00000000-0005-0000-0000-000025210000}"/>
    <cellStyle name="Note 2 4 4 2 2" xfId="8292" xr:uid="{00000000-0005-0000-0000-000026210000}"/>
    <cellStyle name="Note 2 4 4 2 2 2" xfId="16787" xr:uid="{D147FBBA-5133-455A-A173-8DB528487EE3}"/>
    <cellStyle name="Note 2 4 4 2 3" xfId="12574" xr:uid="{43766805-60F3-4B2F-8003-9FC34D37CB13}"/>
    <cellStyle name="Note 2 4 4 3" xfId="6147" xr:uid="{00000000-0005-0000-0000-000027210000}"/>
    <cellStyle name="Note 2 4 4 3 2" xfId="14642" xr:uid="{9B359CF6-5294-46E0-B6D4-491164A7F6C1}"/>
    <cellStyle name="Note 2 4 4 4" xfId="10429" xr:uid="{7C789820-BB2E-4F82-AE04-338828A5DB3F}"/>
    <cellStyle name="Note 2 4 5" xfId="2254" xr:uid="{00000000-0005-0000-0000-000028210000}"/>
    <cellStyle name="Note 2 4 5 2" xfId="4483" xr:uid="{00000000-0005-0000-0000-000029210000}"/>
    <cellStyle name="Note 2 4 5 2 2" xfId="8705" xr:uid="{00000000-0005-0000-0000-00002A210000}"/>
    <cellStyle name="Note 2 4 5 2 2 2" xfId="17200" xr:uid="{06D37A40-728E-48EC-AADF-5853F720E13E}"/>
    <cellStyle name="Note 2 4 5 2 3" xfId="12987" xr:uid="{9B339D9E-A2FF-41AF-95AB-BFD0CC7519EB}"/>
    <cellStyle name="Note 2 4 5 3" xfId="6560" xr:uid="{00000000-0005-0000-0000-00002B210000}"/>
    <cellStyle name="Note 2 4 5 3 2" xfId="15055" xr:uid="{3278C2D8-C076-4439-8910-7B8D34D5AE6C}"/>
    <cellStyle name="Note 2 4 5 4" xfId="10842" xr:uid="{85BD0F4B-8090-42AC-9A9C-AFB9A09CC75C}"/>
    <cellStyle name="Note 2 4 6" xfId="2690" xr:uid="{00000000-0005-0000-0000-00002C210000}"/>
    <cellStyle name="Note 2 4 6 2" xfId="6973" xr:uid="{00000000-0005-0000-0000-00002D210000}"/>
    <cellStyle name="Note 2 4 6 2 2" xfId="15468" xr:uid="{C82F725B-3A8D-4EB1-BEB8-8906CCC9BF7D}"/>
    <cellStyle name="Note 2 4 6 3" xfId="11255" xr:uid="{28EBB51B-40BE-4AA7-837B-5260742E22F8}"/>
    <cellStyle name="Note 2 4 7" xfId="2749" xr:uid="{00000000-0005-0000-0000-00002E210000}"/>
    <cellStyle name="Note 2 4 8" xfId="2830" xr:uid="{00000000-0005-0000-0000-00002F210000}"/>
    <cellStyle name="Note 2 4 8 2" xfId="7053" xr:uid="{00000000-0005-0000-0000-000030210000}"/>
    <cellStyle name="Note 2 4 8 2 2" xfId="15548" xr:uid="{7205A887-4E45-4ACD-AEC5-9D8EC77C051A}"/>
    <cellStyle name="Note 2 4 8 3" xfId="11335" xr:uid="{6D851729-CCF4-4334-9078-FD2E628D7D0E}"/>
    <cellStyle name="Note 2 4 9" xfId="4908" xr:uid="{00000000-0005-0000-0000-000031210000}"/>
    <cellStyle name="Note 2 4 9 2" xfId="13403" xr:uid="{D34F49F2-0DA8-4EA6-9DD4-529B1BD80A7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2 2 2" xfId="15962" xr:uid="{326FAC92-0BF9-4215-955B-7981DEEE8614}"/>
    <cellStyle name="Note 2 5 2 2 3" xfId="11749" xr:uid="{F46AC7E5-048D-4923-A7C7-4C062DED5BE8}"/>
    <cellStyle name="Note 2 5 2 3" xfId="5322" xr:uid="{00000000-0005-0000-0000-000036210000}"/>
    <cellStyle name="Note 2 5 2 3 2" xfId="13817" xr:uid="{7400DED3-F470-4BD9-A1B2-0F1A8F21FDC6}"/>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2 2 2" xfId="16375" xr:uid="{0FE2F1A4-5F21-4C8E-A19C-98218B25B72C}"/>
    <cellStyle name="Note 2 5 3 2 3" xfId="12162" xr:uid="{5BCD871C-9C50-4FF8-8D3D-7FE9F2F9D7A4}"/>
    <cellStyle name="Note 2 5 3 3" xfId="5735" xr:uid="{00000000-0005-0000-0000-00003A210000}"/>
    <cellStyle name="Note 2 5 3 3 2" xfId="14230" xr:uid="{EFA05EC3-581C-4D71-A4BF-7194365B9AB8}"/>
    <cellStyle name="Note 2 5 3 4" xfId="10017" xr:uid="{6E2C5C31-EA8C-43C8-9A3F-566399671EA7}"/>
    <cellStyle name="Note 2 5 4" xfId="1842" xr:uid="{00000000-0005-0000-0000-00003B210000}"/>
    <cellStyle name="Note 2 5 4 2" xfId="4071" xr:uid="{00000000-0005-0000-0000-00003C210000}"/>
    <cellStyle name="Note 2 5 4 2 2" xfId="8293" xr:uid="{00000000-0005-0000-0000-00003D210000}"/>
    <cellStyle name="Note 2 5 4 2 2 2" xfId="16788" xr:uid="{92142EBC-40FB-45B2-8ABB-01816BF4C6E5}"/>
    <cellStyle name="Note 2 5 4 2 3" xfId="12575" xr:uid="{B3B94ED6-8633-43B4-BDAA-1EB7251DE388}"/>
    <cellStyle name="Note 2 5 4 3" xfId="6148" xr:uid="{00000000-0005-0000-0000-00003E210000}"/>
    <cellStyle name="Note 2 5 4 3 2" xfId="14643" xr:uid="{8D73E7FB-06B5-4657-9B3D-0D9EC7DFB621}"/>
    <cellStyle name="Note 2 5 4 4" xfId="10430" xr:uid="{57537043-09F7-4931-939D-B82463AA611A}"/>
    <cellStyle name="Note 2 5 5" xfId="2255" xr:uid="{00000000-0005-0000-0000-00003F210000}"/>
    <cellStyle name="Note 2 5 5 2" xfId="4484" xr:uid="{00000000-0005-0000-0000-000040210000}"/>
    <cellStyle name="Note 2 5 5 2 2" xfId="8706" xr:uid="{00000000-0005-0000-0000-000041210000}"/>
    <cellStyle name="Note 2 5 5 2 2 2" xfId="17201" xr:uid="{B0B1CA2F-5617-4B62-9E95-A49462FF3AA5}"/>
    <cellStyle name="Note 2 5 5 2 3" xfId="12988" xr:uid="{3F3D1E01-F211-467D-BFBE-F813746BD4C8}"/>
    <cellStyle name="Note 2 5 5 3" xfId="6561" xr:uid="{00000000-0005-0000-0000-000042210000}"/>
    <cellStyle name="Note 2 5 5 3 2" xfId="15056" xr:uid="{C1D83491-FF55-48AA-AAA1-72286E24C3E9}"/>
    <cellStyle name="Note 2 5 5 4" xfId="10843" xr:uid="{401E39F9-D98A-4E5D-9466-180E5D4BFA97}"/>
    <cellStyle name="Note 2 5 6" xfId="2691" xr:uid="{00000000-0005-0000-0000-000043210000}"/>
    <cellStyle name="Note 2 5 6 2" xfId="6974" xr:uid="{00000000-0005-0000-0000-000044210000}"/>
    <cellStyle name="Note 2 5 6 2 2" xfId="15469" xr:uid="{5C574CBF-CC79-4356-B77D-1CD1009068AF}"/>
    <cellStyle name="Note 2 5 6 3" xfId="11256" xr:uid="{54090D64-55F8-45EA-A38B-9E8B4D0EEB59}"/>
    <cellStyle name="Note 2 5 7" xfId="2750" xr:uid="{00000000-0005-0000-0000-000045210000}"/>
    <cellStyle name="Note 2 5 8" xfId="2831" xr:uid="{00000000-0005-0000-0000-000046210000}"/>
    <cellStyle name="Note 2 5 8 2" xfId="7054" xr:uid="{00000000-0005-0000-0000-000047210000}"/>
    <cellStyle name="Note 2 5 8 2 2" xfId="15549" xr:uid="{72682C2F-72EF-40CD-9606-A3CE4C77A24A}"/>
    <cellStyle name="Note 2 5 8 3" xfId="11336" xr:uid="{238A0375-AA99-4194-9D15-766BA13D1106}"/>
    <cellStyle name="Note 2 5 9" xfId="4909" xr:uid="{00000000-0005-0000-0000-000048210000}"/>
    <cellStyle name="Note 2 5 9 2" xfId="13404" xr:uid="{CCDDCA56-B160-46F4-A586-768BF185BDA4}"/>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50" xr:uid="{95B40448-F800-41EA-BA2D-02100AD7860B}"/>
    <cellStyle name="Note 3 2 10 3" xfId="11337" xr:uid="{4EBACB03-1B3C-4549-B8B4-6EBB54FC6AAC}"/>
    <cellStyle name="Note 3 2 11" xfId="4910" xr:uid="{00000000-0005-0000-0000-00004D210000}"/>
    <cellStyle name="Note 3 2 11 2" xfId="13405" xr:uid="{64F3E8F7-E2EA-4FDE-A5A9-C6DA36E84B2E}"/>
    <cellStyle name="Note 3 2 12" xfId="8842" xr:uid="{646587AC-B7A9-43E2-AC1E-1B77745805D8}"/>
    <cellStyle name="Note 3 2 2" xfId="555" xr:uid="{00000000-0005-0000-0000-00004E210000}"/>
    <cellStyle name="Note 3 2 2 10" xfId="4911" xr:uid="{00000000-0005-0000-0000-00004F210000}"/>
    <cellStyle name="Note 3 2 2 10 2" xfId="13406" xr:uid="{22D58E4D-EC61-469B-8F6E-C98BEF5D9DED}"/>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2 2 2" xfId="15965" xr:uid="{AA26376E-0E71-4B31-9A5A-0698E8FD3361}"/>
    <cellStyle name="Note 3 2 2 2 2 2 3" xfId="11752" xr:uid="{F61A3063-A4E9-41E3-BAAA-77D5D30D5FC7}"/>
    <cellStyle name="Note 3 2 2 2 2 3" xfId="5325" xr:uid="{00000000-0005-0000-0000-000054210000}"/>
    <cellStyle name="Note 3 2 2 2 2 3 2" xfId="13820" xr:uid="{E911D52E-2EE8-464B-89D9-1066379F6AD9}"/>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2 2 2" xfId="16378" xr:uid="{A860E8A8-FA0C-4704-9BEF-7E8C2976225D}"/>
    <cellStyle name="Note 3 2 2 2 3 2 3" xfId="12165" xr:uid="{A85C8500-027F-4149-909C-A7C0584A22F2}"/>
    <cellStyle name="Note 3 2 2 2 3 3" xfId="5738" xr:uid="{00000000-0005-0000-0000-000058210000}"/>
    <cellStyle name="Note 3 2 2 2 3 3 2" xfId="14233" xr:uid="{99BCBF93-089A-4074-A469-F6DF6606F5E6}"/>
    <cellStyle name="Note 3 2 2 2 3 4" xfId="10020" xr:uid="{7903A9AB-F643-471C-9201-596B47A22239}"/>
    <cellStyle name="Note 3 2 2 2 4" xfId="1845" xr:uid="{00000000-0005-0000-0000-000059210000}"/>
    <cellStyle name="Note 3 2 2 2 4 2" xfId="4074" xr:uid="{00000000-0005-0000-0000-00005A210000}"/>
    <cellStyle name="Note 3 2 2 2 4 2 2" xfId="8296" xr:uid="{00000000-0005-0000-0000-00005B210000}"/>
    <cellStyle name="Note 3 2 2 2 4 2 2 2" xfId="16791" xr:uid="{E8FD9C46-5C38-4D8D-8C57-505EE1029FC9}"/>
    <cellStyle name="Note 3 2 2 2 4 2 3" xfId="12578" xr:uid="{0073CDA0-647F-4220-BE91-A0BA04A3B5D4}"/>
    <cellStyle name="Note 3 2 2 2 4 3" xfId="6151" xr:uid="{00000000-0005-0000-0000-00005C210000}"/>
    <cellStyle name="Note 3 2 2 2 4 3 2" xfId="14646" xr:uid="{324EE123-149E-467F-B2D4-5F48C7AC9348}"/>
    <cellStyle name="Note 3 2 2 2 4 4" xfId="10433" xr:uid="{1E68E22E-AA03-421A-99A1-34A11E5A13F1}"/>
    <cellStyle name="Note 3 2 2 2 5" xfId="2258" xr:uid="{00000000-0005-0000-0000-00005D210000}"/>
    <cellStyle name="Note 3 2 2 2 5 2" xfId="4487" xr:uid="{00000000-0005-0000-0000-00005E210000}"/>
    <cellStyle name="Note 3 2 2 2 5 2 2" xfId="8709" xr:uid="{00000000-0005-0000-0000-00005F210000}"/>
    <cellStyle name="Note 3 2 2 2 5 2 2 2" xfId="17204" xr:uid="{C90DB621-38DB-42CA-AFAE-9EE0DB36E176}"/>
    <cellStyle name="Note 3 2 2 2 5 2 3" xfId="12991" xr:uid="{CAC772CB-CAB7-4CCC-A5A2-3EBCEBB32DBF}"/>
    <cellStyle name="Note 3 2 2 2 5 3" xfId="6564" xr:uid="{00000000-0005-0000-0000-000060210000}"/>
    <cellStyle name="Note 3 2 2 2 5 3 2" xfId="15059" xr:uid="{09BCE4FD-9162-4D8D-BDC9-89F7ADBCC4CA}"/>
    <cellStyle name="Note 3 2 2 2 5 4" xfId="10846" xr:uid="{85164760-7568-4BD2-91A4-F74A9BF753F2}"/>
    <cellStyle name="Note 3 2 2 2 6" xfId="2694" xr:uid="{00000000-0005-0000-0000-000061210000}"/>
    <cellStyle name="Note 3 2 2 2 6 2" xfId="6977" xr:uid="{00000000-0005-0000-0000-000062210000}"/>
    <cellStyle name="Note 3 2 2 2 6 2 2" xfId="15472" xr:uid="{597BA51E-4787-43DD-AD87-4015B832C51D}"/>
    <cellStyle name="Note 3 2 2 2 6 3" xfId="11259" xr:uid="{CDC91D18-4E06-4C8D-AF88-57A9ADE8308C}"/>
    <cellStyle name="Note 3 2 2 2 7" xfId="2753" xr:uid="{00000000-0005-0000-0000-000063210000}"/>
    <cellStyle name="Note 3 2 2 2 8" xfId="2834" xr:uid="{00000000-0005-0000-0000-000064210000}"/>
    <cellStyle name="Note 3 2 2 2 8 2" xfId="7057" xr:uid="{00000000-0005-0000-0000-000065210000}"/>
    <cellStyle name="Note 3 2 2 2 8 2 2" xfId="15552" xr:uid="{3EF4B926-7B81-43B0-AAE2-A7EC056E1853}"/>
    <cellStyle name="Note 3 2 2 2 8 3" xfId="11339" xr:uid="{28F1FA75-22E2-4F9C-8036-C6A0771638F5}"/>
    <cellStyle name="Note 3 2 2 2 9" xfId="4912" xr:uid="{00000000-0005-0000-0000-000066210000}"/>
    <cellStyle name="Note 3 2 2 2 9 2" xfId="13407" xr:uid="{FDEC426E-1E9D-4EB9-A9EA-0678FA3052D6}"/>
    <cellStyle name="Note 3 2 2 3" xfId="1015" xr:uid="{00000000-0005-0000-0000-000067210000}"/>
    <cellStyle name="Note 3 2 2 3 2" xfId="3247" xr:uid="{00000000-0005-0000-0000-000068210000}"/>
    <cellStyle name="Note 3 2 2 3 2 2" xfId="7469" xr:uid="{00000000-0005-0000-0000-000069210000}"/>
    <cellStyle name="Note 3 2 2 3 2 2 2" xfId="15964" xr:uid="{C74A2A4A-EEB7-418D-9742-CA1649F2C79B}"/>
    <cellStyle name="Note 3 2 2 3 2 3" xfId="11751" xr:uid="{99099E86-24B3-450C-8282-B889770E1878}"/>
    <cellStyle name="Note 3 2 2 3 3" xfId="5324" xr:uid="{00000000-0005-0000-0000-00006A210000}"/>
    <cellStyle name="Note 3 2 2 3 3 2" xfId="13819" xr:uid="{DAA95CFB-7958-4A67-9723-4CD62515969C}"/>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2 2 2" xfId="16377" xr:uid="{FEA948C7-4CD1-4993-ABF1-3FE9C86585FE}"/>
    <cellStyle name="Note 3 2 2 4 2 3" xfId="12164" xr:uid="{49589ADF-E3E5-4D0B-8696-BBF6173F4D3C}"/>
    <cellStyle name="Note 3 2 2 4 3" xfId="5737" xr:uid="{00000000-0005-0000-0000-00006E210000}"/>
    <cellStyle name="Note 3 2 2 4 3 2" xfId="14232" xr:uid="{2E73FF75-4FAC-449B-A7A9-30CE1ECB0D85}"/>
    <cellStyle name="Note 3 2 2 4 4" xfId="10019" xr:uid="{13A584C6-3DFF-40E5-9CFC-4334CFD4434A}"/>
    <cellStyle name="Note 3 2 2 5" xfId="1844" xr:uid="{00000000-0005-0000-0000-00006F210000}"/>
    <cellStyle name="Note 3 2 2 5 2" xfId="4073" xr:uid="{00000000-0005-0000-0000-000070210000}"/>
    <cellStyle name="Note 3 2 2 5 2 2" xfId="8295" xr:uid="{00000000-0005-0000-0000-000071210000}"/>
    <cellStyle name="Note 3 2 2 5 2 2 2" xfId="16790" xr:uid="{4485EADB-40ED-40C8-889E-436E93CF4C0D}"/>
    <cellStyle name="Note 3 2 2 5 2 3" xfId="12577" xr:uid="{EB55F910-BF99-466B-84AA-40C2F6DE1994}"/>
    <cellStyle name="Note 3 2 2 5 3" xfId="6150" xr:uid="{00000000-0005-0000-0000-000072210000}"/>
    <cellStyle name="Note 3 2 2 5 3 2" xfId="14645" xr:uid="{5EDF608F-AB83-4E8F-9D8F-6169BFA44A5B}"/>
    <cellStyle name="Note 3 2 2 5 4" xfId="10432" xr:uid="{D744FC35-02EF-4971-B101-8A5358B1D82E}"/>
    <cellStyle name="Note 3 2 2 6" xfId="2257" xr:uid="{00000000-0005-0000-0000-000073210000}"/>
    <cellStyle name="Note 3 2 2 6 2" xfId="4486" xr:uid="{00000000-0005-0000-0000-000074210000}"/>
    <cellStyle name="Note 3 2 2 6 2 2" xfId="8708" xr:uid="{00000000-0005-0000-0000-000075210000}"/>
    <cellStyle name="Note 3 2 2 6 2 2 2" xfId="17203" xr:uid="{1F133983-758B-4D50-84BA-ECD09044E6DD}"/>
    <cellStyle name="Note 3 2 2 6 2 3" xfId="12990" xr:uid="{F77EB805-E235-4E2D-A5DE-8ED29535F17D}"/>
    <cellStyle name="Note 3 2 2 6 3" xfId="6563" xr:uid="{00000000-0005-0000-0000-000076210000}"/>
    <cellStyle name="Note 3 2 2 6 3 2" xfId="15058" xr:uid="{E47D24C5-E5DA-46A8-8B20-033F5D5C844D}"/>
    <cellStyle name="Note 3 2 2 6 4" xfId="10845" xr:uid="{3035DD93-D088-4BDA-89D2-F5B6BBAFA92D}"/>
    <cellStyle name="Note 3 2 2 7" xfId="2693" xr:uid="{00000000-0005-0000-0000-000077210000}"/>
    <cellStyle name="Note 3 2 2 7 2" xfId="6976" xr:uid="{00000000-0005-0000-0000-000078210000}"/>
    <cellStyle name="Note 3 2 2 7 2 2" xfId="15471" xr:uid="{CF015CF9-F5A0-4F18-BCC5-A649F46C4FE8}"/>
    <cellStyle name="Note 3 2 2 7 3" xfId="11258" xr:uid="{BCF9594A-837E-422E-89BB-3D97FD5C6FC8}"/>
    <cellStyle name="Note 3 2 2 8" xfId="2752" xr:uid="{00000000-0005-0000-0000-000079210000}"/>
    <cellStyle name="Note 3 2 2 9" xfId="2833" xr:uid="{00000000-0005-0000-0000-00007A210000}"/>
    <cellStyle name="Note 3 2 2 9 2" xfId="7056" xr:uid="{00000000-0005-0000-0000-00007B210000}"/>
    <cellStyle name="Note 3 2 2 9 2 2" xfId="15551" xr:uid="{E0C12201-03AF-425F-B84C-E3F83EED8AF9}"/>
    <cellStyle name="Note 3 2 2 9 3" xfId="11338" xr:uid="{16598BD3-6DCF-42EB-BEF4-906F8D558A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2 2 2" xfId="15966" xr:uid="{CE613F3F-97D6-4989-8189-CE0FFA3DFBAE}"/>
    <cellStyle name="Note 3 2 3 2 2 3" xfId="11753" xr:uid="{0787ACBE-5161-472B-8302-B8AA7286D05B}"/>
    <cellStyle name="Note 3 2 3 2 3" xfId="5326" xr:uid="{00000000-0005-0000-0000-000080210000}"/>
    <cellStyle name="Note 3 2 3 2 3 2" xfId="13821" xr:uid="{3131424C-4EDE-43C5-AB17-F2028094E544}"/>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2 2 2" xfId="16379" xr:uid="{4477EB33-1767-4C13-B931-0CB26D725059}"/>
    <cellStyle name="Note 3 2 3 3 2 3" xfId="12166" xr:uid="{EF4838D8-E36F-4C37-B213-CE7BA38662B4}"/>
    <cellStyle name="Note 3 2 3 3 3" xfId="5739" xr:uid="{00000000-0005-0000-0000-000084210000}"/>
    <cellStyle name="Note 3 2 3 3 3 2" xfId="14234" xr:uid="{9C3DE5D9-2AE9-4EA5-BA28-172F5DCF1AAA}"/>
    <cellStyle name="Note 3 2 3 3 4" xfId="10021" xr:uid="{F1F6DA03-80DF-4C37-9AE7-84A3D8547624}"/>
    <cellStyle name="Note 3 2 3 4" xfId="1846" xr:uid="{00000000-0005-0000-0000-000085210000}"/>
    <cellStyle name="Note 3 2 3 4 2" xfId="4075" xr:uid="{00000000-0005-0000-0000-000086210000}"/>
    <cellStyle name="Note 3 2 3 4 2 2" xfId="8297" xr:uid="{00000000-0005-0000-0000-000087210000}"/>
    <cellStyle name="Note 3 2 3 4 2 2 2" xfId="16792" xr:uid="{E6A32310-4938-4610-874C-0A81C8DBC9FF}"/>
    <cellStyle name="Note 3 2 3 4 2 3" xfId="12579" xr:uid="{A4F4CD57-FFEF-4410-8636-54E2A422BE53}"/>
    <cellStyle name="Note 3 2 3 4 3" xfId="6152" xr:uid="{00000000-0005-0000-0000-000088210000}"/>
    <cellStyle name="Note 3 2 3 4 3 2" xfId="14647" xr:uid="{FB1C6B44-A1DC-4915-83BD-D571AA7B0A05}"/>
    <cellStyle name="Note 3 2 3 4 4" xfId="10434" xr:uid="{AE517FB8-E9A4-4C0A-A3AE-9DDCDAABC123}"/>
    <cellStyle name="Note 3 2 3 5" xfId="2259" xr:uid="{00000000-0005-0000-0000-000089210000}"/>
    <cellStyle name="Note 3 2 3 5 2" xfId="4488" xr:uid="{00000000-0005-0000-0000-00008A210000}"/>
    <cellStyle name="Note 3 2 3 5 2 2" xfId="8710" xr:uid="{00000000-0005-0000-0000-00008B210000}"/>
    <cellStyle name="Note 3 2 3 5 2 2 2" xfId="17205" xr:uid="{DE837FBB-AC00-4059-BB45-DC2930D30866}"/>
    <cellStyle name="Note 3 2 3 5 2 3" xfId="12992" xr:uid="{FCD00A0F-79BF-4F55-8DF4-43A0ED6E675A}"/>
    <cellStyle name="Note 3 2 3 5 3" xfId="6565" xr:uid="{00000000-0005-0000-0000-00008C210000}"/>
    <cellStyle name="Note 3 2 3 5 3 2" xfId="15060" xr:uid="{92962301-304C-42F7-B4B7-50E2D9A5E43A}"/>
    <cellStyle name="Note 3 2 3 5 4" xfId="10847" xr:uid="{AF5D2E23-5C33-4F49-8435-CD644F8EBFAE}"/>
    <cellStyle name="Note 3 2 3 6" xfId="2695" xr:uid="{00000000-0005-0000-0000-00008D210000}"/>
    <cellStyle name="Note 3 2 3 6 2" xfId="6978" xr:uid="{00000000-0005-0000-0000-00008E210000}"/>
    <cellStyle name="Note 3 2 3 6 2 2" xfId="15473" xr:uid="{58238391-FFBE-4E16-BA0B-1609BFDE7E53}"/>
    <cellStyle name="Note 3 2 3 6 3" xfId="11260" xr:uid="{F59618D4-B2D3-4847-A4D9-8E2847BAB80E}"/>
    <cellStyle name="Note 3 2 3 7" xfId="2754" xr:uid="{00000000-0005-0000-0000-00008F210000}"/>
    <cellStyle name="Note 3 2 3 8" xfId="2835" xr:uid="{00000000-0005-0000-0000-000090210000}"/>
    <cellStyle name="Note 3 2 3 8 2" xfId="7058" xr:uid="{00000000-0005-0000-0000-000091210000}"/>
    <cellStyle name="Note 3 2 3 8 2 2" xfId="15553" xr:uid="{13E7A2E9-2DB8-4156-90FF-A5AA3C2488EF}"/>
    <cellStyle name="Note 3 2 3 8 3" xfId="11340" xr:uid="{799420DC-E5C1-45AD-8C28-E0001BDD71C4}"/>
    <cellStyle name="Note 3 2 3 9" xfId="4913" xr:uid="{00000000-0005-0000-0000-000092210000}"/>
    <cellStyle name="Note 3 2 3 9 2" xfId="13408" xr:uid="{B032ACFE-8560-4737-B3B0-A5C4296F72AC}"/>
    <cellStyle name="Note 3 2 4" xfId="1014" xr:uid="{00000000-0005-0000-0000-000093210000}"/>
    <cellStyle name="Note 3 2 4 2" xfId="3246" xr:uid="{00000000-0005-0000-0000-000094210000}"/>
    <cellStyle name="Note 3 2 4 2 2" xfId="7468" xr:uid="{00000000-0005-0000-0000-000095210000}"/>
    <cellStyle name="Note 3 2 4 2 2 2" xfId="15963" xr:uid="{C43F535C-989C-48B7-B506-B35B5BCEF4F9}"/>
    <cellStyle name="Note 3 2 4 2 3" xfId="11750" xr:uid="{ADD3C69C-D5F1-4FB9-8AA8-B972EDA12012}"/>
    <cellStyle name="Note 3 2 4 3" xfId="5323" xr:uid="{00000000-0005-0000-0000-000096210000}"/>
    <cellStyle name="Note 3 2 4 3 2" xfId="13818" xr:uid="{95E02410-ABE5-4AD0-809F-A77A65DD7C18}"/>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2 2 2" xfId="16376" xr:uid="{A24BC4D9-6756-480A-9CE2-97FFBE134459}"/>
    <cellStyle name="Note 3 2 5 2 3" xfId="12163" xr:uid="{4406AEDA-6A96-4BB5-BBC5-F86245B6D0BD}"/>
    <cellStyle name="Note 3 2 5 3" xfId="5736" xr:uid="{00000000-0005-0000-0000-00009A210000}"/>
    <cellStyle name="Note 3 2 5 3 2" xfId="14231" xr:uid="{F4FF812A-AC39-4DF9-951E-5DDFD0C6A1A5}"/>
    <cellStyle name="Note 3 2 5 4" xfId="10018" xr:uid="{6087C6FB-D217-41B9-BE30-8BA25EFB56C6}"/>
    <cellStyle name="Note 3 2 6" xfId="1843" xr:uid="{00000000-0005-0000-0000-00009B210000}"/>
    <cellStyle name="Note 3 2 6 2" xfId="4072" xr:uid="{00000000-0005-0000-0000-00009C210000}"/>
    <cellStyle name="Note 3 2 6 2 2" xfId="8294" xr:uid="{00000000-0005-0000-0000-00009D210000}"/>
    <cellStyle name="Note 3 2 6 2 2 2" xfId="16789" xr:uid="{BF2EFF07-EC69-4BCB-B402-C23753CDE992}"/>
    <cellStyle name="Note 3 2 6 2 3" xfId="12576" xr:uid="{11A88350-00FB-40DB-89A4-615F0D138308}"/>
    <cellStyle name="Note 3 2 6 3" xfId="6149" xr:uid="{00000000-0005-0000-0000-00009E210000}"/>
    <cellStyle name="Note 3 2 6 3 2" xfId="14644" xr:uid="{5BA39BDF-1A19-464E-907B-59B6D540D9DA}"/>
    <cellStyle name="Note 3 2 6 4" xfId="10431" xr:uid="{6966B91B-8560-46AF-A4EA-86A6F9210636}"/>
    <cellStyle name="Note 3 2 7" xfId="2256" xr:uid="{00000000-0005-0000-0000-00009F210000}"/>
    <cellStyle name="Note 3 2 7 2" xfId="4485" xr:uid="{00000000-0005-0000-0000-0000A0210000}"/>
    <cellStyle name="Note 3 2 7 2 2" xfId="8707" xr:uid="{00000000-0005-0000-0000-0000A1210000}"/>
    <cellStyle name="Note 3 2 7 2 2 2" xfId="17202" xr:uid="{DEB0FCAB-A79B-443C-BE83-F247A0D09750}"/>
    <cellStyle name="Note 3 2 7 2 3" xfId="12989" xr:uid="{01FE204E-E11E-4A32-AD95-B9DA045B744C}"/>
    <cellStyle name="Note 3 2 7 3" xfId="6562" xr:uid="{00000000-0005-0000-0000-0000A2210000}"/>
    <cellStyle name="Note 3 2 7 3 2" xfId="15057" xr:uid="{34A45CBD-615D-4FB9-9A20-7204FFA60DBF}"/>
    <cellStyle name="Note 3 2 7 4" xfId="10844" xr:uid="{2522215A-DC12-477C-8468-31B0521745D6}"/>
    <cellStyle name="Note 3 2 8" xfId="2692" xr:uid="{00000000-0005-0000-0000-0000A3210000}"/>
    <cellStyle name="Note 3 2 8 2" xfId="6975" xr:uid="{00000000-0005-0000-0000-0000A4210000}"/>
    <cellStyle name="Note 3 2 8 2 2" xfId="15470" xr:uid="{DB6A422B-4950-4E0B-BA7C-56462828AF76}"/>
    <cellStyle name="Note 3 2 8 3" xfId="11257" xr:uid="{05584AAF-46C7-4A39-844C-7116B5B96825}"/>
    <cellStyle name="Note 3 2 9" xfId="2751" xr:uid="{00000000-0005-0000-0000-0000A5210000}"/>
    <cellStyle name="Note 3 3" xfId="558" xr:uid="{00000000-0005-0000-0000-0000A6210000}"/>
    <cellStyle name="Note 3 3 10" xfId="4914" xr:uid="{00000000-0005-0000-0000-0000A7210000}"/>
    <cellStyle name="Note 3 3 10 2" xfId="13409" xr:uid="{2E9DB46B-287D-45BB-A508-C3F3FB068BCE}"/>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2 2 2" xfId="15968" xr:uid="{C2556392-1293-48BB-B33F-A0EBF3C0562D}"/>
    <cellStyle name="Note 3 3 2 2 2 3" xfId="11755" xr:uid="{BE2B1A01-38B4-4429-8143-6853EDFB33F5}"/>
    <cellStyle name="Note 3 3 2 2 3" xfId="5328" xr:uid="{00000000-0005-0000-0000-0000AC210000}"/>
    <cellStyle name="Note 3 3 2 2 3 2" xfId="13823" xr:uid="{6EF3F357-C253-4272-BF2C-A4C3D275B7DF}"/>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2 2 2" xfId="16381" xr:uid="{CCA16A68-5D5B-4B0B-B106-A505C48D20D8}"/>
    <cellStyle name="Note 3 3 2 3 2 3" xfId="12168" xr:uid="{96643367-3B22-4EE9-9441-8F2782C4EFB9}"/>
    <cellStyle name="Note 3 3 2 3 3" xfId="5741" xr:uid="{00000000-0005-0000-0000-0000B0210000}"/>
    <cellStyle name="Note 3 3 2 3 3 2" xfId="14236" xr:uid="{500F80E8-3D36-42D4-882F-4A9FB6580CAB}"/>
    <cellStyle name="Note 3 3 2 3 4" xfId="10023" xr:uid="{DAEBBAC2-0557-40C2-85DD-2EA708C9A07C}"/>
    <cellStyle name="Note 3 3 2 4" xfId="1848" xr:uid="{00000000-0005-0000-0000-0000B1210000}"/>
    <cellStyle name="Note 3 3 2 4 2" xfId="4077" xr:uid="{00000000-0005-0000-0000-0000B2210000}"/>
    <cellStyle name="Note 3 3 2 4 2 2" xfId="8299" xr:uid="{00000000-0005-0000-0000-0000B3210000}"/>
    <cellStyle name="Note 3 3 2 4 2 2 2" xfId="16794" xr:uid="{344AA311-B4C1-4A4E-AD0E-2476FE1C2CB7}"/>
    <cellStyle name="Note 3 3 2 4 2 3" xfId="12581" xr:uid="{0F640DA8-0F15-47DD-8183-ACA3343AC401}"/>
    <cellStyle name="Note 3 3 2 4 3" xfId="6154" xr:uid="{00000000-0005-0000-0000-0000B4210000}"/>
    <cellStyle name="Note 3 3 2 4 3 2" xfId="14649" xr:uid="{E2AA11EA-C62D-4B4E-A6DE-35729DA9E6F9}"/>
    <cellStyle name="Note 3 3 2 4 4" xfId="10436" xr:uid="{43C6FD8F-FA7B-4D51-BDCA-38A4A63E518B}"/>
    <cellStyle name="Note 3 3 2 5" xfId="2261" xr:uid="{00000000-0005-0000-0000-0000B5210000}"/>
    <cellStyle name="Note 3 3 2 5 2" xfId="4490" xr:uid="{00000000-0005-0000-0000-0000B6210000}"/>
    <cellStyle name="Note 3 3 2 5 2 2" xfId="8712" xr:uid="{00000000-0005-0000-0000-0000B7210000}"/>
    <cellStyle name="Note 3 3 2 5 2 2 2" xfId="17207" xr:uid="{60E95B5F-0C87-4088-A86B-A67A71551A4F}"/>
    <cellStyle name="Note 3 3 2 5 2 3" xfId="12994" xr:uid="{03C812A6-10F4-4341-B9DD-BF1BD4D96352}"/>
    <cellStyle name="Note 3 3 2 5 3" xfId="6567" xr:uid="{00000000-0005-0000-0000-0000B8210000}"/>
    <cellStyle name="Note 3 3 2 5 3 2" xfId="15062" xr:uid="{D3FC07B7-4EE0-450B-AB68-51FB580BE009}"/>
    <cellStyle name="Note 3 3 2 5 4" xfId="10849" xr:uid="{08B16BC1-F1D4-4783-9D2A-24A6701166B1}"/>
    <cellStyle name="Note 3 3 2 6" xfId="2697" xr:uid="{00000000-0005-0000-0000-0000B9210000}"/>
    <cellStyle name="Note 3 3 2 6 2" xfId="6980" xr:uid="{00000000-0005-0000-0000-0000BA210000}"/>
    <cellStyle name="Note 3 3 2 6 2 2" xfId="15475" xr:uid="{A6CE5D04-5984-43B3-AC71-53D1E2AB2050}"/>
    <cellStyle name="Note 3 3 2 6 3" xfId="11262" xr:uid="{5E773977-0401-4417-9C79-012D26E15704}"/>
    <cellStyle name="Note 3 3 2 7" xfId="2756" xr:uid="{00000000-0005-0000-0000-0000BB210000}"/>
    <cellStyle name="Note 3 3 2 8" xfId="2837" xr:uid="{00000000-0005-0000-0000-0000BC210000}"/>
    <cellStyle name="Note 3 3 2 8 2" xfId="7060" xr:uid="{00000000-0005-0000-0000-0000BD210000}"/>
    <cellStyle name="Note 3 3 2 8 2 2" xfId="15555" xr:uid="{D34F58C1-077D-4C49-8951-C0D344C56B84}"/>
    <cellStyle name="Note 3 3 2 8 3" xfId="11342" xr:uid="{1876EEF9-2C97-44D0-A451-F9A7D8D77B23}"/>
    <cellStyle name="Note 3 3 2 9" xfId="4915" xr:uid="{00000000-0005-0000-0000-0000BE210000}"/>
    <cellStyle name="Note 3 3 2 9 2" xfId="13410" xr:uid="{A4E54248-15A2-4291-A7A3-93A960F54C1D}"/>
    <cellStyle name="Note 3 3 3" xfId="1018" xr:uid="{00000000-0005-0000-0000-0000BF210000}"/>
    <cellStyle name="Note 3 3 3 2" xfId="3250" xr:uid="{00000000-0005-0000-0000-0000C0210000}"/>
    <cellStyle name="Note 3 3 3 2 2" xfId="7472" xr:uid="{00000000-0005-0000-0000-0000C1210000}"/>
    <cellStyle name="Note 3 3 3 2 2 2" xfId="15967" xr:uid="{71C61B8F-2EA0-419D-8F4F-805637B622D7}"/>
    <cellStyle name="Note 3 3 3 2 3" xfId="11754" xr:uid="{C3F353BC-FC54-4791-BF2E-0D901AC8EFD4}"/>
    <cellStyle name="Note 3 3 3 3" xfId="5327" xr:uid="{00000000-0005-0000-0000-0000C2210000}"/>
    <cellStyle name="Note 3 3 3 3 2" xfId="13822" xr:uid="{43C08C17-D7EA-4758-A79B-535EE41EA1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2 2 2" xfId="16380" xr:uid="{4D10216C-F266-4681-819C-15D19E618C08}"/>
    <cellStyle name="Note 3 3 4 2 3" xfId="12167" xr:uid="{6F37BE87-1F6A-4136-AD46-C5DD546C768E}"/>
    <cellStyle name="Note 3 3 4 3" xfId="5740" xr:uid="{00000000-0005-0000-0000-0000C6210000}"/>
    <cellStyle name="Note 3 3 4 3 2" xfId="14235" xr:uid="{7B905ABD-6CF3-4FAC-B660-A3468A0CBB20}"/>
    <cellStyle name="Note 3 3 4 4" xfId="10022" xr:uid="{5676ADF1-947C-4B85-8BBB-E266AFA66024}"/>
    <cellStyle name="Note 3 3 5" xfId="1847" xr:uid="{00000000-0005-0000-0000-0000C7210000}"/>
    <cellStyle name="Note 3 3 5 2" xfId="4076" xr:uid="{00000000-0005-0000-0000-0000C8210000}"/>
    <cellStyle name="Note 3 3 5 2 2" xfId="8298" xr:uid="{00000000-0005-0000-0000-0000C9210000}"/>
    <cellStyle name="Note 3 3 5 2 2 2" xfId="16793" xr:uid="{8BADBFFF-2AB7-42C6-8817-81A4B78D0F63}"/>
    <cellStyle name="Note 3 3 5 2 3" xfId="12580" xr:uid="{683DA128-729B-4480-904D-6B28FF573A84}"/>
    <cellStyle name="Note 3 3 5 3" xfId="6153" xr:uid="{00000000-0005-0000-0000-0000CA210000}"/>
    <cellStyle name="Note 3 3 5 3 2" xfId="14648" xr:uid="{3A157AE9-9FFA-4262-A21F-AA2EC832D195}"/>
    <cellStyle name="Note 3 3 5 4" xfId="10435" xr:uid="{5EB6E053-5C42-42BB-BF6F-518FABE37C3D}"/>
    <cellStyle name="Note 3 3 6" xfId="2260" xr:uid="{00000000-0005-0000-0000-0000CB210000}"/>
    <cellStyle name="Note 3 3 6 2" xfId="4489" xr:uid="{00000000-0005-0000-0000-0000CC210000}"/>
    <cellStyle name="Note 3 3 6 2 2" xfId="8711" xr:uid="{00000000-0005-0000-0000-0000CD210000}"/>
    <cellStyle name="Note 3 3 6 2 2 2" xfId="17206" xr:uid="{C7941A90-E2C9-45E5-BBBA-D885D3672436}"/>
    <cellStyle name="Note 3 3 6 2 3" xfId="12993" xr:uid="{7C41D3BF-F19C-4285-8D83-E42C32F09E2A}"/>
    <cellStyle name="Note 3 3 6 3" xfId="6566" xr:uid="{00000000-0005-0000-0000-0000CE210000}"/>
    <cellStyle name="Note 3 3 6 3 2" xfId="15061" xr:uid="{46FF5A98-9A38-4576-A0B2-B4CC4767FE62}"/>
    <cellStyle name="Note 3 3 6 4" xfId="10848" xr:uid="{DC853DAF-5B8F-4567-9428-9460DA89FF29}"/>
    <cellStyle name="Note 3 3 7" xfId="2696" xr:uid="{00000000-0005-0000-0000-0000CF210000}"/>
    <cellStyle name="Note 3 3 7 2" xfId="6979" xr:uid="{00000000-0005-0000-0000-0000D0210000}"/>
    <cellStyle name="Note 3 3 7 2 2" xfId="15474" xr:uid="{224F46EB-624D-461E-BED9-2E25A93AAF06}"/>
    <cellStyle name="Note 3 3 7 3" xfId="11261" xr:uid="{4BA55128-87EC-4190-B966-CA84E56DFC3F}"/>
    <cellStyle name="Note 3 3 8" xfId="2755" xr:uid="{00000000-0005-0000-0000-0000D1210000}"/>
    <cellStyle name="Note 3 3 9" xfId="2836" xr:uid="{00000000-0005-0000-0000-0000D2210000}"/>
    <cellStyle name="Note 3 3 9 2" xfId="7059" xr:uid="{00000000-0005-0000-0000-0000D3210000}"/>
    <cellStyle name="Note 3 3 9 2 2" xfId="15554" xr:uid="{C12C8C1E-2D3C-420E-8CD3-9285A21EE580}"/>
    <cellStyle name="Note 3 3 9 3" xfId="11341" xr:uid="{C638A6BD-C1D7-41B9-AC62-D0F9F88B30BF}"/>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2 2 2" xfId="15969" xr:uid="{13E61D08-0E5C-43B2-A073-D416CD4E579F}"/>
    <cellStyle name="Note 3 4 2 2 3" xfId="11756" xr:uid="{28096CAE-1372-46B5-B53F-FE20E009F7E5}"/>
    <cellStyle name="Note 3 4 2 3" xfId="5329" xr:uid="{00000000-0005-0000-0000-0000D8210000}"/>
    <cellStyle name="Note 3 4 2 3 2" xfId="13824" xr:uid="{BB41B2BC-1573-4DBA-8DC1-D69AF2579AB4}"/>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2 2 2" xfId="16382" xr:uid="{DC80D108-083D-430B-A268-21A4C24DF0EB}"/>
    <cellStyle name="Note 3 4 3 2 3" xfId="12169" xr:uid="{ADD66F53-4CBF-495B-B393-3FAD91267A29}"/>
    <cellStyle name="Note 3 4 3 3" xfId="5742" xr:uid="{00000000-0005-0000-0000-0000DC210000}"/>
    <cellStyle name="Note 3 4 3 3 2" xfId="14237" xr:uid="{AF8E7712-E0A5-4904-BDF9-5EF069338BEF}"/>
    <cellStyle name="Note 3 4 3 4" xfId="10024" xr:uid="{C131F677-5B51-4450-AE5C-39E7F1D64F9E}"/>
    <cellStyle name="Note 3 4 4" xfId="1849" xr:uid="{00000000-0005-0000-0000-0000DD210000}"/>
    <cellStyle name="Note 3 4 4 2" xfId="4078" xr:uid="{00000000-0005-0000-0000-0000DE210000}"/>
    <cellStyle name="Note 3 4 4 2 2" xfId="8300" xr:uid="{00000000-0005-0000-0000-0000DF210000}"/>
    <cellStyle name="Note 3 4 4 2 2 2" xfId="16795" xr:uid="{EC496C3F-4B77-4863-8402-E35655E11B18}"/>
    <cellStyle name="Note 3 4 4 2 3" xfId="12582" xr:uid="{4D9E7369-512B-4A24-A6BB-EBB4EE016DEE}"/>
    <cellStyle name="Note 3 4 4 3" xfId="6155" xr:uid="{00000000-0005-0000-0000-0000E0210000}"/>
    <cellStyle name="Note 3 4 4 3 2" xfId="14650" xr:uid="{11ADD28D-E2EF-4973-A29B-5C1745E122CB}"/>
    <cellStyle name="Note 3 4 4 4" xfId="10437" xr:uid="{CB24C7E6-517D-4D4C-A42E-EDB696D8C2CF}"/>
    <cellStyle name="Note 3 4 5" xfId="2262" xr:uid="{00000000-0005-0000-0000-0000E1210000}"/>
    <cellStyle name="Note 3 4 5 2" xfId="4491" xr:uid="{00000000-0005-0000-0000-0000E2210000}"/>
    <cellStyle name="Note 3 4 5 2 2" xfId="8713" xr:uid="{00000000-0005-0000-0000-0000E3210000}"/>
    <cellStyle name="Note 3 4 5 2 2 2" xfId="17208" xr:uid="{58C8F7F8-746F-44E8-80D1-C0B0495B984E}"/>
    <cellStyle name="Note 3 4 5 2 3" xfId="12995" xr:uid="{01A49EBE-367A-4CBA-A2D1-9E869E4931D4}"/>
    <cellStyle name="Note 3 4 5 3" xfId="6568" xr:uid="{00000000-0005-0000-0000-0000E4210000}"/>
    <cellStyle name="Note 3 4 5 3 2" xfId="15063" xr:uid="{B91E3E16-97CB-4910-A528-0CCECEC0ACBB}"/>
    <cellStyle name="Note 3 4 5 4" xfId="10850" xr:uid="{4354525D-2302-428A-8611-7393907D2BD3}"/>
    <cellStyle name="Note 3 4 6" xfId="2698" xr:uid="{00000000-0005-0000-0000-0000E5210000}"/>
    <cellStyle name="Note 3 4 6 2" xfId="6981" xr:uid="{00000000-0005-0000-0000-0000E6210000}"/>
    <cellStyle name="Note 3 4 6 2 2" xfId="15476" xr:uid="{F963A27E-F667-4503-BC77-EC38E6890565}"/>
    <cellStyle name="Note 3 4 6 3" xfId="11263" xr:uid="{1128BF4D-C8FB-4D1D-96C1-49EDA8AB3254}"/>
    <cellStyle name="Note 3 4 7" xfId="2757" xr:uid="{00000000-0005-0000-0000-0000E7210000}"/>
    <cellStyle name="Note 3 4 8" xfId="2838" xr:uid="{00000000-0005-0000-0000-0000E8210000}"/>
    <cellStyle name="Note 3 4 8 2" xfId="7061" xr:uid="{00000000-0005-0000-0000-0000E9210000}"/>
    <cellStyle name="Note 3 4 8 2 2" xfId="15556" xr:uid="{5D22E483-6599-4A14-BD55-DA8C455AAA64}"/>
    <cellStyle name="Note 3 4 8 3" xfId="11343" xr:uid="{FCEBCB96-2D85-4707-88A9-FC81CD921557}"/>
    <cellStyle name="Note 3 4 9" xfId="4916" xr:uid="{00000000-0005-0000-0000-0000EA210000}"/>
    <cellStyle name="Note 3 4 9 2" xfId="13411" xr:uid="{F4059409-3732-4A6B-8462-BEFAC424C3A7}"/>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2 2 2" xfId="15970" xr:uid="{01124A5E-5E09-4EA0-AAEF-6E32176ABD08}"/>
    <cellStyle name="Note 3 5 2 2 3" xfId="11757" xr:uid="{FB91CC19-7246-4A9F-A653-FF34A4D1403D}"/>
    <cellStyle name="Note 3 5 2 3" xfId="5330" xr:uid="{00000000-0005-0000-0000-0000EF210000}"/>
    <cellStyle name="Note 3 5 2 3 2" xfId="13825" xr:uid="{20EEF10D-9ABA-477E-BA1D-4C01C336A118}"/>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2 2 2" xfId="16383" xr:uid="{57A5198E-FFF4-4C6F-8BA6-7E6CA5186239}"/>
    <cellStyle name="Note 3 5 3 2 3" xfId="12170" xr:uid="{D7FBCFB6-6883-4239-B822-5783CBB1C721}"/>
    <cellStyle name="Note 3 5 3 3" xfId="5743" xr:uid="{00000000-0005-0000-0000-0000F3210000}"/>
    <cellStyle name="Note 3 5 3 3 2" xfId="14238" xr:uid="{F81EF453-F980-4D18-BCA9-A2EA4766EAA7}"/>
    <cellStyle name="Note 3 5 3 4" xfId="10025" xr:uid="{517FC839-5550-41B8-A3D1-00AF870609E6}"/>
    <cellStyle name="Note 3 5 4" xfId="1850" xr:uid="{00000000-0005-0000-0000-0000F4210000}"/>
    <cellStyle name="Note 3 5 4 2" xfId="4079" xr:uid="{00000000-0005-0000-0000-0000F5210000}"/>
    <cellStyle name="Note 3 5 4 2 2" xfId="8301" xr:uid="{00000000-0005-0000-0000-0000F6210000}"/>
    <cellStyle name="Note 3 5 4 2 2 2" xfId="16796" xr:uid="{522B5297-912A-484C-A7B8-B1027D598DAF}"/>
    <cellStyle name="Note 3 5 4 2 3" xfId="12583" xr:uid="{5B8E8597-C0BE-467C-AFC7-605845EA8F2D}"/>
    <cellStyle name="Note 3 5 4 3" xfId="6156" xr:uid="{00000000-0005-0000-0000-0000F7210000}"/>
    <cellStyle name="Note 3 5 4 3 2" xfId="14651" xr:uid="{CF552314-FB89-4741-9805-E0AF84627015}"/>
    <cellStyle name="Note 3 5 4 4" xfId="10438" xr:uid="{7C9BB03C-4F29-4EA5-B983-033BAA01D083}"/>
    <cellStyle name="Note 3 5 5" xfId="2263" xr:uid="{00000000-0005-0000-0000-0000F8210000}"/>
    <cellStyle name="Note 3 5 5 2" xfId="4492" xr:uid="{00000000-0005-0000-0000-0000F9210000}"/>
    <cellStyle name="Note 3 5 5 2 2" xfId="8714" xr:uid="{00000000-0005-0000-0000-0000FA210000}"/>
    <cellStyle name="Note 3 5 5 2 2 2" xfId="17209" xr:uid="{E056C3FB-9954-4E31-8059-7B4F2B5E177B}"/>
    <cellStyle name="Note 3 5 5 2 3" xfId="12996" xr:uid="{51789CD9-D744-4FDC-A037-38783D78B6FD}"/>
    <cellStyle name="Note 3 5 5 3" xfId="6569" xr:uid="{00000000-0005-0000-0000-0000FB210000}"/>
    <cellStyle name="Note 3 5 5 3 2" xfId="15064" xr:uid="{786407D1-FC32-4667-A119-D90EA59B7F11}"/>
    <cellStyle name="Note 3 5 5 4" xfId="10851" xr:uid="{9F244450-FD24-4D40-9BC1-249CDFBAA51A}"/>
    <cellStyle name="Note 3 5 6" xfId="2699" xr:uid="{00000000-0005-0000-0000-0000FC210000}"/>
    <cellStyle name="Note 3 5 6 2" xfId="6982" xr:uid="{00000000-0005-0000-0000-0000FD210000}"/>
    <cellStyle name="Note 3 5 6 2 2" xfId="15477" xr:uid="{C9E292A1-DC1D-4A5B-8135-AF47A8004F12}"/>
    <cellStyle name="Note 3 5 6 3" xfId="11264" xr:uid="{CE2874E4-7BB3-4D64-B457-5A1B6A82398B}"/>
    <cellStyle name="Note 3 5 7" xfId="2758" xr:uid="{00000000-0005-0000-0000-0000FE210000}"/>
    <cellStyle name="Note 3 5 8" xfId="2839" xr:uid="{00000000-0005-0000-0000-0000FF210000}"/>
    <cellStyle name="Note 3 5 8 2" xfId="7062" xr:uid="{00000000-0005-0000-0000-000000220000}"/>
    <cellStyle name="Note 3 5 8 2 2" xfId="15557" xr:uid="{89C684B5-DC7B-454E-BC59-E3EC503A02F4}"/>
    <cellStyle name="Note 3 5 8 3" xfId="11344" xr:uid="{3AE3DC95-8724-49F3-AE2C-AABEB68171CA}"/>
    <cellStyle name="Note 3 5 9" xfId="4917" xr:uid="{00000000-0005-0000-0000-000001220000}"/>
    <cellStyle name="Note 3 5 9 2" xfId="13412" xr:uid="{35DEFF6E-7C84-4E63-909B-DC6D8CFBF53D}"/>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2 2" xfId="17212" xr:uid="{51F2D679-C463-43EF-8CFE-F327EA165BB9}"/>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3" xfId="17228" xr:uid="{A342E27F-F2F5-4B9B-8AAB-93E21287A8D3}"/>
    <cellStyle name="Percent 4 3 2 2 2 3" xfId="17225" xr:uid="{346864E5-5E90-4FEB-85A5-88DA8936922A}"/>
    <cellStyle name="Percent 4 3 2 2 3" xfId="17221" xr:uid="{EB020D11-E806-4768-A72B-B752CC257660}"/>
    <cellStyle name="Percent 4 3 2 3" xfId="17218" xr:uid="{3B10522B-0B4D-4C87-9825-DC268B81DF28}"/>
    <cellStyle name="Percent 4 3 3" xfId="17215" xr:uid="{559741EE-15A3-4107-A454-33DE473E19BE}"/>
    <cellStyle name="Percent 4 4" xfId="12999" xr:uid="{6CC3C5C9-40B6-4EC4-8EEA-72AB0D271B1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550</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6" t="s">
        <v>1994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6" t="s">
        <v>1995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6" t="s">
        <v>2530</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1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2529</v>
      </c>
      <c r="E18" s="441"/>
      <c r="G18" s="441"/>
      <c r="H18" s="441"/>
      <c r="I18" s="441"/>
      <c r="J18" s="1279" t="s">
        <v>2528</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6" t="s">
        <v>1996</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1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6" t="s">
        <v>1997</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2608</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2097</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2609</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2610</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15" customHeight="1">
      <c r="A40" s="4"/>
      <c r="B40"/>
      <c r="C40" s="2"/>
      <c r="D40" s="4"/>
      <c r="E40" s="4" t="s">
        <v>653</v>
      </c>
      <c r="F40" s="1266" t="s">
        <v>1163</v>
      </c>
    </row>
    <row r="41" spans="1:38" s="1266"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2" t="s">
        <v>1245</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1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687</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6" t="s">
        <v>1999</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1" t="s">
        <v>1190</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1" t="s">
        <v>2000</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6" t="s">
        <v>1165</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ustomHeight="1">
      <c r="A67" s="4"/>
      <c r="C67" s="2"/>
      <c r="D67" s="4"/>
      <c r="E67" s="4"/>
      <c r="F67" t="s">
        <v>509</v>
      </c>
      <c r="G67" s="1266" t="s">
        <v>1166</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6" t="s">
        <v>1167</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509</v>
      </c>
      <c r="G72" s="1266" t="s">
        <v>1168</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1169</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1170</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9" t="s">
        <v>1171</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1172</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6" t="s">
        <v>1173</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1174</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2001</v>
      </c>
      <c r="F138" s="2"/>
      <c r="G138" s="2"/>
      <c r="H138" s="2"/>
    </row>
    <row r="139" spans="4:37">
      <c r="E139" t="s">
        <v>112</v>
      </c>
      <c r="F139" t="s">
        <v>52</v>
      </c>
    </row>
    <row r="140" spans="4:37">
      <c r="E140" t="s">
        <v>113</v>
      </c>
      <c r="F140" t="s">
        <v>466</v>
      </c>
    </row>
    <row r="141" spans="4:37"/>
    <row r="142" spans="4:37">
      <c r="D142" s="2" t="s">
        <v>429</v>
      </c>
      <c r="E142" s="2" t="s">
        <v>2002</v>
      </c>
    </row>
    <row r="143" spans="4:37">
      <c r="E143" s="204" t="s">
        <v>2003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6" t="s">
        <v>1175</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6" t="s">
        <v>1154</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15" customHeight="1">
      <c r="B341" s="2"/>
      <c r="E341" s="1271" t="s">
        <v>1234</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1236</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1235</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4" t="s">
        <v>1225</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1257</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1268</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90" zoomScaleNormal="90" workbookViewId="0">
      <selection activeCell="Q13" sqref="Q13"/>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2" t="s">
        <v>1573</v>
      </c>
      <c r="B1" s="2662"/>
      <c r="C1" s="2662"/>
      <c r="D1" s="2662"/>
      <c r="E1" s="2662"/>
      <c r="F1" s="2662"/>
      <c r="G1" s="2662"/>
      <c r="H1" s="2662"/>
      <c r="I1" s="2662"/>
      <c r="J1" s="2662"/>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41320186.000000007</v>
      </c>
      <c r="I3" s="1099"/>
    </row>
    <row r="4" spans="1:13" s="1046" customFormat="1" ht="20.100000000000001" customHeight="1">
      <c r="B4" s="1088"/>
      <c r="D4" s="1102"/>
      <c r="F4" s="1087" t="s">
        <v>1964</v>
      </c>
      <c r="G4" s="1086" t="s">
        <v>1963</v>
      </c>
      <c r="H4" s="1201">
        <f>I18</f>
        <v>13671037.028571429</v>
      </c>
      <c r="I4" s="1089"/>
      <c r="K4" s="1050"/>
    </row>
    <row r="5" spans="1:13" s="1046" customFormat="1" ht="20.100000000000001" customHeight="1" thickBot="1">
      <c r="B5" s="1090"/>
      <c r="C5" s="1091"/>
      <c r="D5" s="1103"/>
      <c r="E5" s="1092"/>
      <c r="F5" s="1103" t="s">
        <v>1914</v>
      </c>
      <c r="G5" s="1104"/>
      <c r="H5" s="1100">
        <f>IFERROR(H3/H4,0)</f>
        <v>3.0224617133026528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5" t="s">
        <v>1912</v>
      </c>
      <c r="C8" s="2666"/>
      <c r="D8" s="2666"/>
      <c r="E8" s="2667"/>
      <c r="G8" s="2646" t="s">
        <v>1913</v>
      </c>
      <c r="H8" s="2647"/>
      <c r="I8" s="2648"/>
      <c r="K8" s="1052"/>
    </row>
    <row r="9" spans="1:13" ht="15" customHeight="1">
      <c r="A9" s="1041"/>
      <c r="B9" s="2663" t="s">
        <v>1946</v>
      </c>
      <c r="C9" s="2663"/>
      <c r="D9" s="2663"/>
      <c r="E9" s="1054">
        <f>G33</f>
        <v>8512500</v>
      </c>
      <c r="G9" s="2659" t="s">
        <v>1944</v>
      </c>
      <c r="H9" s="2659"/>
      <c r="I9" s="1055">
        <f>MAX(SUMIF(Application!M562:M573,"Loan, Tax-Exempt",Application!AM562:AM573),27.5%*SUM('Sources and Uses Budget'!C8,'Sources and Uses Budget'!S105,'Sources and Uses Budget'!T105))</f>
        <v>14728320</v>
      </c>
      <c r="K9" s="1056"/>
      <c r="M9" s="1057"/>
    </row>
    <row r="10" spans="1:13" ht="15" customHeight="1" thickBot="1">
      <c r="A10" s="1041"/>
      <c r="B10" s="2663" t="s">
        <v>1947</v>
      </c>
      <c r="C10" s="2663"/>
      <c r="D10" s="2663"/>
      <c r="E10" s="1055">
        <f>G47</f>
        <v>14571936.000000006</v>
      </c>
      <c r="G10" s="2661" t="s">
        <v>1915</v>
      </c>
      <c r="H10" s="2661"/>
      <c r="I10" s="1134">
        <f>IF(OR(Application!Z205="State Farmworker Credit",Application!Z205="$500M (Farmworker Housing)"),0,'Basis &amp; Credits'!AB78)</f>
        <v>0</v>
      </c>
      <c r="M10" s="1057"/>
    </row>
    <row r="11" spans="1:13" ht="15" customHeight="1">
      <c r="A11" s="1041"/>
      <c r="B11" s="2669" t="s">
        <v>2211</v>
      </c>
      <c r="C11" s="2670"/>
      <c r="D11" s="2671"/>
      <c r="E11" s="1055">
        <f>SUM(E13,E12)</f>
        <v>700000</v>
      </c>
      <c r="G11" s="2668" t="s">
        <v>1955</v>
      </c>
      <c r="H11" s="2668"/>
      <c r="I11" s="1133">
        <f>I9+I10</f>
        <v>14728320</v>
      </c>
      <c r="M11" s="1057"/>
    </row>
    <row r="12" spans="1:13" ht="15" customHeight="1">
      <c r="A12" s="1058"/>
      <c r="B12" s="2664" t="s">
        <v>2574</v>
      </c>
      <c r="C12" s="2664"/>
      <c r="D12" s="2664"/>
      <c r="E12" s="1158">
        <f>G56</f>
        <v>700000</v>
      </c>
      <c r="M12" s="1057"/>
    </row>
    <row r="13" spans="1:13" ht="15" customHeight="1">
      <c r="A13" s="1044"/>
      <c r="B13" s="2664" t="s">
        <v>2575</v>
      </c>
      <c r="C13" s="2664"/>
      <c r="D13" s="2664"/>
      <c r="E13" s="1158">
        <f>IF(G67,MAX(G65,G79),G65)</f>
        <v>0</v>
      </c>
      <c r="G13" s="2646" t="s">
        <v>1978</v>
      </c>
      <c r="H13" s="2647"/>
      <c r="I13" s="2648"/>
    </row>
    <row r="14" spans="1:13" ht="15" customHeight="1">
      <c r="A14" s="1044"/>
      <c r="B14" s="2669" t="s">
        <v>2212</v>
      </c>
      <c r="C14" s="2670"/>
      <c r="D14" s="2671"/>
      <c r="E14" s="1160">
        <f>MAX(E15,E16)+E17</f>
        <v>17535750</v>
      </c>
      <c r="G14" s="2659" t="s">
        <v>2591</v>
      </c>
      <c r="H14" s="2659"/>
      <c r="I14" s="1059">
        <f>IF(AND(G134="Yes",G136&lt;&gt;""),IF(OR(G141="Yes",G145="Yes"),18%,15%),0)</f>
        <v>0</v>
      </c>
      <c r="M14" s="1057"/>
    </row>
    <row r="15" spans="1:13" ht="15" customHeight="1">
      <c r="A15" s="1044"/>
      <c r="B15" s="2643" t="s">
        <v>2588</v>
      </c>
      <c r="C15" s="2644"/>
      <c r="D15" s="2645"/>
      <c r="E15" s="1158">
        <f>G94</f>
        <v>5107500</v>
      </c>
      <c r="G15" s="1131" t="s">
        <v>1956</v>
      </c>
      <c r="H15" s="1131"/>
      <c r="I15" s="1059">
        <f>IF(Application!AJ1041&gt;0,10%,IF(Application!AJ1045&gt;0,5%,0))</f>
        <v>0.05</v>
      </c>
      <c r="M15" s="1057"/>
    </row>
    <row r="16" spans="1:13" ht="15" customHeight="1">
      <c r="A16" s="1044"/>
      <c r="B16" s="2643" t="s">
        <v>2589</v>
      </c>
      <c r="C16" s="2644"/>
      <c r="D16" s="2645"/>
      <c r="E16" s="1158">
        <f>G104</f>
        <v>0</v>
      </c>
      <c r="G16" s="2659" t="s">
        <v>1957</v>
      </c>
      <c r="H16" s="2659"/>
      <c r="I16" s="1059">
        <f>G155</f>
        <v>2.1785714285714287E-2</v>
      </c>
    </row>
    <row r="17" spans="1:21" ht="15" customHeight="1" thickBot="1">
      <c r="A17" s="1044"/>
      <c r="B17" s="2643" t="s">
        <v>2590</v>
      </c>
      <c r="C17" s="2644"/>
      <c r="D17" s="2645"/>
      <c r="E17" s="1158">
        <f>G129</f>
        <v>12428250</v>
      </c>
      <c r="G17" s="2659" t="s">
        <v>2220</v>
      </c>
      <c r="H17" s="2659"/>
      <c r="I17" s="1059">
        <f>IF(AND(G161="Yes",G159),IF(G165&gt;15%,15%,G165),0)</f>
        <v>0</v>
      </c>
    </row>
    <row r="18" spans="1:21" ht="15" customHeight="1">
      <c r="A18" s="1041"/>
      <c r="B18" s="2660" t="s">
        <v>1911</v>
      </c>
      <c r="C18" s="2660"/>
      <c r="D18" s="2660"/>
      <c r="E18" s="1105">
        <f>SUM(E9:E11,E14)</f>
        <v>41320186.000000007</v>
      </c>
      <c r="G18" s="1132" t="s">
        <v>1945</v>
      </c>
      <c r="H18" s="1132"/>
      <c r="I18" s="1106">
        <f>I11-((I11*I14)+(I11*I15)+(I11*I16)+(I11*I17))</f>
        <v>13671037.028571429</v>
      </c>
      <c r="M18" s="1060">
        <f>SUM(Cdlac[Quantity])</f>
        <v>146</v>
      </c>
      <c r="O18" s="1079" t="s">
        <v>582</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2209</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17</v>
      </c>
      <c r="N20" s="1066">
        <f>Application!AC726</f>
        <v>0.3</v>
      </c>
      <c r="O20" s="1066">
        <f>IF(Cdlac[[#This Row],[Quantity]]&gt;0,IF(Cdlac[[#This Row],[Federal]],30%,IF(AND(OR(NOT($G$38),$G$38=""),$G$43),40%,Cdlac[[#This Row],[iAMI]])),"")</f>
        <v>0.3</v>
      </c>
      <c r="P20" s="1060" cm="1">
        <f t="array" ref="P20">IF(Cdlac[[#This Row],[Quantity]]&gt;0,INDEX(TcacRents,$P$18,Cdlac[[#This Row],[Bedrooms]]+1)*Cdlac[[#This Row],[AMI]],"")</f>
        <v>852</v>
      </c>
      <c r="Q20" s="1157"/>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1229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7</v>
      </c>
      <c r="N21" s="1066">
        <f>Application!AC727</f>
        <v>0.6</v>
      </c>
      <c r="O21" s="1066">
        <f>IF(Cdlac[[#This Row],[Quantity]]&gt;0,IF(Cdlac[[#This Row],[Federal]],30%,IF(AND(OR(NOT($G$38),$G$38=""),$G$43),40%,Cdlac[[#This Row],[iAMI]])),"")</f>
        <v>0.6</v>
      </c>
      <c r="P21" s="1060" cm="1">
        <f t="array" ref="P21">IF(Cdlac[[#This Row],[Quantity]]&gt;0,INDEX(TcacRents,$P$18,Cdlac[[#This Row],[Bedrooms]]+1)*Cdlac[[#This Row],[AMI]],"")</f>
        <v>1704</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377</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0" t="s">
        <v>1959</v>
      </c>
      <c r="D22" s="2650" t="s">
        <v>1960</v>
      </c>
      <c r="E22" s="2650" t="s">
        <v>1961</v>
      </c>
      <c r="F22" s="2650" t="s">
        <v>2535</v>
      </c>
      <c r="G22" s="2650" t="s">
        <v>1958</v>
      </c>
      <c r="H22" s="1065"/>
      <c r="I22" s="1064"/>
      <c r="L22" s="1039">
        <f>IFERROR(MIN(4,MATCH(Application!B728,UnitSizes,0)-1),"")</f>
        <v>1</v>
      </c>
      <c r="M22" s="1060">
        <f>Application!G728</f>
        <v>48</v>
      </c>
      <c r="N22" s="1066">
        <f>Application!AC728</f>
        <v>0.7</v>
      </c>
      <c r="O22" s="1066">
        <f>IF(Cdlac[[#This Row],[Quantity]]&gt;0,IF(Cdlac[[#This Row],[Federal]],30%,IF(AND(OR(NOT($G$38),$G$38=""),$G$43),40%,Cdlac[[#This Row],[iAMI]])),"")</f>
        <v>0.7</v>
      </c>
      <c r="P22" s="1060" cm="1">
        <f t="array" ref="P22">IF(Cdlac[[#This Row],[Quantity]]&gt;0,INDEX(TcacRents,$P$18,Cdlac[[#This Row],[Bedrooms]]+1)*Cdlac[[#This Row],[AMI]],"")</f>
        <v>1987.9999999999998</v>
      </c>
      <c r="Q22" s="1157"/>
      <c r="R22" s="1060" cm="1">
        <f t="array" ref="R22">IF(Cdlac[[#This Row],[Quantity]]&gt;0,INDEX(HudFmrs,$P$18,Cdlac[[#This Row],[Bedrooms]]+1),"")</f>
        <v>2081</v>
      </c>
      <c r="S22" s="1060">
        <f>IF(Cdlac[[#This Row],[Quantity]]&gt;0,MAX(0,Cdlac[[#This Row],[Fair Market Rent]]-IF(AND($G$37,$G$38,$G$38&lt;&gt;"",NOT(Cdlac[[#This Row],[Federal]]),Cdlac[[#This Row],[Preservation Rent]]&lt;&gt;""),Cdlac[[#This Row],[Preservation Rent]],Cdlac[[#This Row],[Restricted Rent]])),"")</f>
        <v>93.000000000000227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1"/>
      <c r="D23" s="2651"/>
      <c r="E23" s="2651"/>
      <c r="F23" s="2651"/>
      <c r="G23" s="2651"/>
      <c r="H23" s="1065"/>
      <c r="I23" s="1064"/>
      <c r="L23" s="1039">
        <f>IFERROR(MIN(4,MATCH(Application!B729,UnitSizes,0)-1),"")</f>
        <v>2</v>
      </c>
      <c r="M23" s="1060">
        <f>Application!G729</f>
        <v>12</v>
      </c>
      <c r="N23" s="1066">
        <f>Application!AC729</f>
        <v>0.3</v>
      </c>
      <c r="O23" s="1066">
        <f>IF(Cdlac[[#This Row],[Quantity]]&gt;0,IF(Cdlac[[#This Row],[Federal]],30%,IF(AND(OR(NOT($G$38),$G$38=""),$G$43),40%,Cdlac[[#This Row],[iAMI]])),"")</f>
        <v>0.3</v>
      </c>
      <c r="P23" s="1060" cm="1">
        <f t="array" ref="P23">IF(Cdlac[[#This Row],[Quantity]]&gt;0,INDEX(TcacRents,$P$18,Cdlac[[#This Row],[Bedrooms]]+1)*Cdlac[[#This Row],[AMI]],"")</f>
        <v>1021.8</v>
      </c>
      <c r="Q23" s="1157"/>
      <c r="R23" s="1060" cm="1">
        <f t="array" ref="R23">IF(Cdlac[[#This Row],[Quantity]]&gt;0,INDEX(HudFmrs,$P$18,Cdlac[[#This Row],[Bedrooms]]+1),"")</f>
        <v>2625</v>
      </c>
      <c r="S23" s="1060">
        <f>IF(Cdlac[[#This Row],[Quantity]]&gt;0,MAX(0,Cdlac[[#This Row],[Fair Market Rent]]-IF(AND($G$37,$G$38,$G$38&lt;&gt;"",NOT(Cdlac[[#This Row],[Federal]]),Cdlac[[#This Row],[Preservation Rent]]&lt;&gt;""),Cdlac[[#This Row],[Preservation Rent]],Cdlac[[#This Row],[Restricted Rent]])),"")</f>
        <v>1603.2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39</v>
      </c>
      <c r="N24" s="1066">
        <f>Application!AC730</f>
        <v>0.7</v>
      </c>
      <c r="O24" s="1066">
        <f>IF(Cdlac[[#This Row],[Quantity]]&gt;0,IF(Cdlac[[#This Row],[Federal]],30%,IF(AND(OR(NOT($G$38),$G$38=""),$G$43),40%,Cdlac[[#This Row],[iAMI]])),"")</f>
        <v>0.7</v>
      </c>
      <c r="P24" s="1060" cm="1">
        <f t="array" ref="P24">IF(Cdlac[[#This Row],[Quantity]]&gt;0,INDEX(TcacRents,$P$18,Cdlac[[#This Row],[Bedrooms]]+1)*Cdlac[[#This Row],[AMI]],"")</f>
        <v>2384.1999999999998</v>
      </c>
      <c r="Q24" s="1157"/>
      <c r="R24" s="1060" cm="1">
        <f t="array" ref="R24">IF(Cdlac[[#This Row],[Quantity]]&gt;0,INDEX(HudFmrs,$P$18,Cdlac[[#This Row],[Bedrooms]]+1),"")</f>
        <v>2625</v>
      </c>
      <c r="S24" s="1060">
        <f>IF(Cdlac[[#This Row],[Quantity]]&gt;0,MAX(0,Cdlac[[#This Row],[Fair Market Rent]]-IF(AND($G$37,$G$38,$G$38&lt;&gt;"",NOT(Cdlac[[#This Row],[Federal]]),Cdlac[[#This Row],[Preservation Rent]]&lt;&gt;""),Cdlac[[#This Row],[Preservation Rent]],Cdlac[[#This Row],[Restricted Rent]])),"")</f>
        <v>240.80000000000018</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72</v>
      </c>
      <c r="F25" s="1067">
        <f>E25</f>
        <v>72</v>
      </c>
      <c r="G25" s="1067">
        <f>D25*F25</f>
        <v>72</v>
      </c>
      <c r="L25" s="1039">
        <f>IFERROR(MIN(4,MATCH(Application!B731,UnitSizes,0)-1),"")</f>
        <v>3</v>
      </c>
      <c r="M25" s="1060">
        <f>Application!G731</f>
        <v>6</v>
      </c>
      <c r="N25" s="1066">
        <f>Application!AC731</f>
        <v>0.3</v>
      </c>
      <c r="O25" s="1066">
        <f>IF(Cdlac[[#This Row],[Quantity]]&gt;0,IF(Cdlac[[#This Row],[Federal]],30%,IF(AND(OR(NOT($G$38),$G$38=""),$G$43),40%,Cdlac[[#This Row],[iAMI]])),"")</f>
        <v>0.3</v>
      </c>
      <c r="P25" s="1060" cm="1">
        <f t="array" ref="P25">IF(Cdlac[[#This Row],[Quantity]]&gt;0,INDEX(TcacRents,$P$18,Cdlac[[#This Row],[Bedrooms]]+1)*Cdlac[[#This Row],[AMI]],"")</f>
        <v>1181.3999999999999</v>
      </c>
      <c r="Q25" s="1157"/>
      <c r="R25" s="1060" cm="1">
        <f t="array" ref="R25">IF(Cdlac[[#This Row],[Quantity]]&gt;0,INDEX(HudFmrs,$P$18,Cdlac[[#This Row],[Bedrooms]]+1),"")</f>
        <v>3335</v>
      </c>
      <c r="S25" s="1060">
        <f>IF(Cdlac[[#This Row],[Quantity]]&gt;0,MAX(0,Cdlac[[#This Row],[Fair Market Rent]]-IF(AND($G$37,$G$38,$G$38&lt;&gt;"",NOT(Cdlac[[#This Row],[Federal]]),Cdlac[[#This Row],[Preservation Rent]]&lt;&gt;""),Cdlac[[#This Row],[Preservation Rent]],Cdlac[[#This Row],[Restricted Rent]])),"")</f>
        <v>2153.6000000000004</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51</v>
      </c>
      <c r="F26" s="1070">
        <f>SUM(E26:E28)-SUM(F27:F28)</f>
        <v>51</v>
      </c>
      <c r="G26" s="1067">
        <f>D26*F26</f>
        <v>63.75</v>
      </c>
      <c r="H26" s="1069"/>
      <c r="I26" s="1069"/>
      <c r="L26" s="1039">
        <f>IFERROR(MIN(4,MATCH(Application!B732,UnitSizes,0)-1),"")</f>
        <v>3</v>
      </c>
      <c r="M26" s="1060">
        <f>Application!G732</f>
        <v>4</v>
      </c>
      <c r="N26" s="1066">
        <f>Application!AC732</f>
        <v>0.6</v>
      </c>
      <c r="O26" s="1066">
        <f>IF(Cdlac[[#This Row],[Quantity]]&gt;0,IF(Cdlac[[#This Row],[Federal]],30%,IF(AND(OR(NOT($G$38),$G$38=""),$G$43),40%,Cdlac[[#This Row],[iAMI]])),"")</f>
        <v>0.6</v>
      </c>
      <c r="P26" s="1060" cm="1">
        <f t="array" ref="P26">IF(Cdlac[[#This Row],[Quantity]]&gt;0,INDEX(TcacRents,$P$18,Cdlac[[#This Row],[Bedrooms]]+1)*Cdlac[[#This Row],[AMI]],"")</f>
        <v>2362.7999999999997</v>
      </c>
      <c r="Q26" s="1157"/>
      <c r="R26" s="1060" cm="1">
        <f t="array" ref="R26">IF(Cdlac[[#This Row],[Quantity]]&gt;0,INDEX(HudFmrs,$P$18,Cdlac[[#This Row],[Bedrooms]]+1),"")</f>
        <v>3335</v>
      </c>
      <c r="S26" s="1060">
        <f>IF(Cdlac[[#This Row],[Quantity]]&gt;0,MAX(0,Cdlac[[#This Row],[Fair Market Rent]]-IF(AND($G$37,$G$38,$G$38&lt;&gt;"",NOT(Cdlac[[#This Row],[Federal]]),Cdlac[[#This Row],[Preservation Rent]]&lt;&gt;""),Cdlac[[#This Row],[Preservation Rent]],Cdlac[[#This Row],[Restricted Rent]])),"")</f>
        <v>972.20000000000027</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23</v>
      </c>
      <c r="F27" s="1070">
        <f>MIN(E27,ROUNDDOWN(E29*30%,0))</f>
        <v>23</v>
      </c>
      <c r="G27" s="1067">
        <f>D27*F27</f>
        <v>34.5</v>
      </c>
      <c r="H27" s="1069"/>
      <c r="I27" s="1069"/>
      <c r="L27" s="1039">
        <f>IFERROR(MIN(4,MATCH(Application!B733,UnitSizes,0)-1),"")</f>
        <v>3</v>
      </c>
      <c r="M27" s="1060">
        <f>Application!G733</f>
        <v>13</v>
      </c>
      <c r="N27" s="1066">
        <f>Application!AC733</f>
        <v>0.7</v>
      </c>
      <c r="O27" s="1066">
        <f>IF(Cdlac[[#This Row],[Quantity]]&gt;0,IF(Cdlac[[#This Row],[Federal]],30%,IF(AND(OR(NOT($G$38),$G$38=""),$G$43),40%,Cdlac[[#This Row],[iAMI]])),"")</f>
        <v>0.7</v>
      </c>
      <c r="P27" s="1060" cm="1">
        <f t="array" ref="P27">IF(Cdlac[[#This Row],[Quantity]]&gt;0,INDEX(TcacRents,$P$18,Cdlac[[#This Row],[Bedrooms]]+1)*Cdlac[[#This Row],[AMI]],"")</f>
        <v>2756.6</v>
      </c>
      <c r="Q27" s="1157"/>
      <c r="R27" s="1060" cm="1">
        <f t="array" ref="R27">IF(Cdlac[[#This Row],[Quantity]]&gt;0,INDEX(HudFmrs,$P$18,Cdlac[[#This Row],[Bedrooms]]+1),"")</f>
        <v>3335</v>
      </c>
      <c r="S27" s="1060">
        <f>IF(Cdlac[[#This Row],[Quantity]]&gt;0,MAX(0,Cdlac[[#This Row],[Fair Market Rent]]-IF(AND($G$37,$G$38,$G$38&lt;&gt;"",NOT(Cdlac[[#This Row],[Federal]]),Cdlac[[#This Row],[Preservation Rent]]&lt;&gt;""),Cdlac[[#This Row],[Preservation Rent]],Cdlac[[#This Row],[Restricted Rent]])),"")</f>
        <v>578.40000000000009</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2" t="s">
        <v>1574</v>
      </c>
      <c r="D29" s="2653"/>
      <c r="E29" s="1084">
        <f>SUM(E24:E28)</f>
        <v>146</v>
      </c>
      <c r="F29" s="1084">
        <f>SUM(F24:F28)</f>
        <v>146</v>
      </c>
      <c r="G29" s="1085">
        <f>SUMPRODUCT(D24:D28,F24:F28)</f>
        <v>170.25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170.25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8512500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5" t="str">
        <f>IF(AND(G37,G38,G38&lt;&gt;""),"Enter the average rent charged for each unit type over the last three years, as documented with rent rolls or property audits, in cells Q20:Q44","")</f>
        <v/>
      </c>
      <c r="D39" s="2655"/>
      <c r="E39" s="2655"/>
      <c r="F39" s="2655"/>
      <c r="G39" s="2655"/>
      <c r="H39" s="2655"/>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5"/>
      <c r="D40" s="2655"/>
      <c r="E40" s="2655"/>
      <c r="F40" s="2655"/>
      <c r="G40" s="2655"/>
      <c r="H40" s="2655"/>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5"/>
      <c r="D41" s="2655"/>
      <c r="E41" s="2655"/>
      <c r="F41" s="2655"/>
      <c r="G41" s="2655"/>
      <c r="H41" s="2655"/>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0.59657534246575328</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80955.200000000026</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14571936.000000006</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35</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73</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35</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700000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73</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2578</v>
      </c>
      <c r="G67" s="1039" t="b">
        <f>Application!V227="Yes"</f>
        <v>0</v>
      </c>
    </row>
    <row r="68" spans="5:7" ht="15" customHeight="1">
      <c r="E68" s="1079" t="s">
        <v>2579</v>
      </c>
      <c r="G68" s="1202">
        <f>SUMIF(Application!AK726:AK760,"Homeless",Application!G726:G760)</f>
        <v>0</v>
      </c>
    </row>
    <row r="69" spans="5:7" ht="15" customHeight="1">
      <c r="E69" s="1079"/>
    </row>
    <row r="70" spans="5:7" ht="15" customHeight="1">
      <c r="E70" s="1079" t="s">
        <v>2580</v>
      </c>
      <c r="G70" s="1203"/>
    </row>
    <row r="71" spans="5:7" ht="15" customHeight="1">
      <c r="E71" s="1079" t="s">
        <v>2581</v>
      </c>
      <c r="G71" s="1203"/>
    </row>
    <row r="72" spans="5:7" ht="15" customHeight="1">
      <c r="E72" s="1079" t="s">
        <v>2582</v>
      </c>
      <c r="G72" s="1202">
        <f>IF(G71=0,0,(G70/G71)*100000)</f>
        <v>0</v>
      </c>
    </row>
    <row r="73" spans="5:7" ht="15" customHeight="1">
      <c r="E73" s="1079" t="s">
        <v>2583</v>
      </c>
      <c r="G73" s="1203"/>
    </row>
    <row r="74" spans="5:7" ht="15" customHeight="1">
      <c r="E74" s="1079" t="s">
        <v>2584</v>
      </c>
      <c r="G74" s="1203"/>
    </row>
    <row r="75" spans="5:7" ht="15" customHeight="1">
      <c r="E75" s="1079" t="s">
        <v>2585</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76" t="s">
        <v>1942</v>
      </c>
      <c r="M83" s="2677"/>
      <c r="N83" s="1125">
        <v>30000</v>
      </c>
    </row>
    <row r="84" spans="2:14" ht="15" customHeight="1">
      <c r="C84" s="1072" t="s">
        <v>1954</v>
      </c>
      <c r="G84" s="1076" t="str">
        <f>IF(Application!D211="Large Family","Yes","No")</f>
        <v>No</v>
      </c>
      <c r="L84" s="2680" t="s">
        <v>1910</v>
      </c>
      <c r="M84" s="2681"/>
      <c r="N84" s="1126">
        <v>20000</v>
      </c>
    </row>
    <row r="85" spans="2:14" ht="15" customHeight="1" thickBot="1">
      <c r="C85" s="1072" t="s">
        <v>1940</v>
      </c>
      <c r="G85" s="1038" t="s">
        <v>669</v>
      </c>
      <c r="L85" s="2682" t="s">
        <v>1943</v>
      </c>
      <c r="M85" s="2683"/>
      <c r="N85" s="1127">
        <v>10000</v>
      </c>
    </row>
    <row r="86" spans="2:14" ht="15" customHeight="1" thickBot="1">
      <c r="C86" s="1072" t="s">
        <v>1941</v>
      </c>
      <c r="G86" s="1039" t="str">
        <f>Application!T193</f>
        <v>Low Resource</v>
      </c>
    </row>
    <row r="87" spans="2:14" ht="15" customHeight="1">
      <c r="C87" s="2658" t="s">
        <v>2210</v>
      </c>
      <c r="D87" s="2658"/>
      <c r="E87" s="2658"/>
      <c r="F87" s="2658"/>
      <c r="G87" s="1038" t="s">
        <v>545</v>
      </c>
      <c r="L87" s="1121" t="str">
        <f>'Points System'!H651</f>
        <v>(i)</v>
      </c>
      <c r="M87" s="2678" t="s">
        <v>1396</v>
      </c>
      <c r="N87" s="2679"/>
    </row>
    <row r="88" spans="2:14" ht="15" customHeight="1">
      <c r="C88" s="2658"/>
      <c r="D88" s="2658"/>
      <c r="E88" s="2658"/>
      <c r="F88" s="2658"/>
      <c r="L88" s="1122" t="str">
        <f>'Points System'!H663</f>
        <v>(i)</v>
      </c>
      <c r="M88" s="2672" t="s">
        <v>1929</v>
      </c>
      <c r="N88" s="2673"/>
    </row>
    <row r="89" spans="2:14" ht="15" customHeight="1">
      <c r="C89" s="1072"/>
      <c r="L89" s="1122" t="str">
        <f>'Points System'!H698</f>
        <v>(i)</v>
      </c>
      <c r="M89" s="2672" t="s">
        <v>1930</v>
      </c>
      <c r="N89" s="2673"/>
    </row>
    <row r="90" spans="2:14" ht="15" customHeight="1">
      <c r="E90" s="1079" t="s">
        <v>1972</v>
      </c>
      <c r="G90" s="1074" t="b">
        <f>OR(AND(COUNTIFS(G84:G85,"Yes")&gt;=1,G83="Yes"),G87="Yes")</f>
        <v>1</v>
      </c>
      <c r="L90" s="1122" t="str">
        <f>IF(OR('Points System'!H722="(ii)",'Points System'!H722="(i)"),"(i)","N/A")</f>
        <v>N/A</v>
      </c>
      <c r="M90" s="2672" t="s">
        <v>1931</v>
      </c>
      <c r="N90" s="2673"/>
    </row>
    <row r="91" spans="2:14" ht="15" customHeight="1">
      <c r="E91" s="1079"/>
      <c r="G91" s="1074"/>
      <c r="L91" s="1123" t="str">
        <f>'Points System'!H736</f>
        <v>N/A</v>
      </c>
      <c r="M91" s="2672" t="s">
        <v>1422</v>
      </c>
      <c r="N91" s="2673"/>
    </row>
    <row r="92" spans="2:14" ht="15" customHeight="1">
      <c r="E92" s="1079" t="s">
        <v>1917</v>
      </c>
      <c r="G92" s="1073">
        <f>IFERROR(IF($G$87="Yes",30000,INDEX(N83:N85,MATCH(LEFT(G86,17),L83:L85,0))),0)</f>
        <v>30000</v>
      </c>
      <c r="L92" s="1122" t="str">
        <f>'Points System'!H748</f>
        <v>N/A</v>
      </c>
      <c r="M92" s="2672" t="s">
        <v>1932</v>
      </c>
      <c r="N92" s="2673"/>
    </row>
    <row r="93" spans="2:14" ht="15" customHeight="1">
      <c r="E93" s="1079" t="str">
        <f>E110</f>
        <v>Bedroom-Adjusted Low-Income Units</v>
      </c>
      <c r="F93" s="1107" t="s">
        <v>1965</v>
      </c>
      <c r="G93" s="1108">
        <f>G29</f>
        <v>170.25</v>
      </c>
      <c r="L93" s="1122" t="str">
        <f>'Points System'!H764</f>
        <v>(i)</v>
      </c>
      <c r="M93" s="2672" t="s">
        <v>1933</v>
      </c>
      <c r="N93" s="2673"/>
    </row>
    <row r="94" spans="2:14" ht="15" customHeight="1" thickBot="1">
      <c r="D94" s="1041"/>
      <c r="E94" s="1112" t="s">
        <v>2213</v>
      </c>
      <c r="F94" s="1041"/>
      <c r="G94" s="1117">
        <f>G93*G92*G90</f>
        <v>5107500</v>
      </c>
      <c r="L94" s="1124" t="str">
        <f>'Points System'!H776</f>
        <v>(i)</v>
      </c>
      <c r="M94" s="2674" t="s">
        <v>1425</v>
      </c>
      <c r="N94" s="267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669</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170.25</v>
      </c>
    </row>
    <row r="103" spans="2:9" ht="15" customHeight="1">
      <c r="E103" s="1079" t="s">
        <v>1917</v>
      </c>
      <c r="F103" s="1107" t="s">
        <v>1965</v>
      </c>
      <c r="G103" s="1045">
        <v>20000</v>
      </c>
    </row>
    <row r="104" spans="2:9" ht="15" customHeight="1">
      <c r="E104" s="1112" t="s">
        <v>2214</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170.25</v>
      </c>
    </row>
    <row r="111" spans="2:9" ht="15" customHeight="1">
      <c r="E111" s="1112" t="s">
        <v>1934</v>
      </c>
      <c r="F111" s="1041"/>
      <c r="G111" s="1117">
        <f>G108*G109*G110</f>
        <v>4767000</v>
      </c>
    </row>
    <row r="112" spans="2:9" ht="15" customHeight="1">
      <c r="C112" s="1072"/>
      <c r="G112" s="1108"/>
    </row>
    <row r="113" spans="2:7" ht="15" customHeight="1">
      <c r="E113" s="1079" t="s">
        <v>1970</v>
      </c>
      <c r="G113" s="1108">
        <f>COUNTIFS(L87:L94,"(i)")</f>
        <v>5</v>
      </c>
    </row>
    <row r="114" spans="2:7" ht="15" customHeight="1">
      <c r="E114" s="1079" t="s">
        <v>1917</v>
      </c>
      <c r="F114" s="1107" t="s">
        <v>1965</v>
      </c>
      <c r="G114" s="1118">
        <v>4000</v>
      </c>
    </row>
    <row r="115" spans="2:7" ht="15" customHeight="1">
      <c r="E115" s="1112" t="s">
        <v>1935</v>
      </c>
      <c r="F115" s="1041"/>
      <c r="G115" s="1117">
        <f>G110*G113*G114</f>
        <v>3405000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2095</v>
      </c>
      <c r="G120" s="1038" t="s">
        <v>545</v>
      </c>
    </row>
    <row r="121" spans="2:7">
      <c r="C121" s="1072" t="s">
        <v>2096</v>
      </c>
      <c r="G121" s="1038"/>
    </row>
    <row r="123" spans="2:7">
      <c r="B123" s="1073"/>
      <c r="C123" s="1072"/>
      <c r="E123" s="1079" t="s">
        <v>1972</v>
      </c>
      <c r="G123" s="1074" t="b">
        <f>COUNTIFS(G118:G121,"Yes")&gt;=1</f>
        <v>1</v>
      </c>
    </row>
    <row r="124" spans="2:7">
      <c r="E124" s="1072"/>
    </row>
    <row r="125" spans="2:7" ht="15">
      <c r="E125" s="1079" t="s">
        <v>1969</v>
      </c>
      <c r="F125" s="1107" t="s">
        <v>1965</v>
      </c>
      <c r="G125" s="1108">
        <f>G29</f>
        <v>170.25</v>
      </c>
    </row>
    <row r="126" spans="2:7" ht="15">
      <c r="E126" s="1079" t="s">
        <v>1917</v>
      </c>
      <c r="F126" s="1107" t="s">
        <v>1965</v>
      </c>
      <c r="G126" s="1118">
        <v>25000</v>
      </c>
    </row>
    <row r="127" spans="2:7" ht="15">
      <c r="E127" s="1112" t="s">
        <v>1936</v>
      </c>
      <c r="F127" s="1041"/>
      <c r="G127" s="1117">
        <f>G123*G126*G110</f>
        <v>4256250</v>
      </c>
    </row>
    <row r="128" spans="2:7">
      <c r="C128" s="1072"/>
      <c r="E128" s="1072"/>
    </row>
    <row r="129" spans="2:9" ht="15">
      <c r="E129" s="1112" t="s">
        <v>2215</v>
      </c>
      <c r="G129" s="1117">
        <f>G127+G115+G111</f>
        <v>12428250</v>
      </c>
    </row>
    <row r="131" spans="2:9" ht="15">
      <c r="B131" s="1061" t="s">
        <v>139</v>
      </c>
      <c r="C131" s="1062"/>
      <c r="D131" s="1062"/>
      <c r="E131" s="1062"/>
      <c r="F131" s="1062"/>
      <c r="G131" s="1062"/>
      <c r="H131" s="1062"/>
      <c r="I131" s="1063"/>
    </row>
    <row r="133" spans="2:9">
      <c r="C133" s="2654" t="s">
        <v>2181</v>
      </c>
      <c r="D133" s="2654"/>
      <c r="E133" s="2654"/>
      <c r="F133" s="2654"/>
    </row>
    <row r="134" spans="2:9">
      <c r="C134" s="2654"/>
      <c r="D134" s="2654"/>
      <c r="E134" s="2654"/>
      <c r="F134" s="2654"/>
      <c r="G134" s="1038"/>
    </row>
    <row r="135" spans="2:9" ht="14.25" customHeight="1"/>
    <row r="136" spans="2:9">
      <c r="C136" s="1039" t="s">
        <v>2183</v>
      </c>
      <c r="G136" s="2656"/>
      <c r="H136" s="2656"/>
    </row>
    <row r="137" spans="2:9">
      <c r="G137" s="2656"/>
      <c r="H137" s="2656"/>
    </row>
    <row r="138" spans="2:9">
      <c r="G138" s="2657"/>
      <c r="H138" s="2657"/>
    </row>
    <row r="140" spans="2:9">
      <c r="C140" s="2654" t="s">
        <v>2593</v>
      </c>
      <c r="D140" s="2654"/>
      <c r="E140" s="2654"/>
      <c r="F140" s="2654"/>
    </row>
    <row r="141" spans="2:9">
      <c r="C141" s="2654"/>
      <c r="D141" s="2654"/>
      <c r="E141" s="2654"/>
      <c r="F141" s="2654"/>
      <c r="G141" s="1038"/>
    </row>
    <row r="142" spans="2:9">
      <c r="C142" s="2654"/>
      <c r="D142" s="2654"/>
      <c r="E142" s="2654"/>
      <c r="F142" s="2654"/>
    </row>
    <row r="144" spans="2:9">
      <c r="C144" s="2654" t="s">
        <v>2592</v>
      </c>
      <c r="D144" s="2654"/>
      <c r="E144" s="2654"/>
      <c r="F144" s="2654"/>
    </row>
    <row r="145" spans="2:9">
      <c r="C145" s="2654"/>
      <c r="D145" s="2654"/>
      <c r="E145" s="2654"/>
      <c r="F145" s="2654"/>
      <c r="G145" s="1038"/>
    </row>
    <row r="146" spans="2:9">
      <c r="C146" s="2654"/>
      <c r="D146" s="2654"/>
      <c r="E146" s="2654"/>
      <c r="F146" s="2654"/>
    </row>
    <row r="147" spans="2:9">
      <c r="C147" s="2654"/>
      <c r="D147" s="2654"/>
      <c r="E147" s="2654"/>
      <c r="F147" s="2654"/>
    </row>
    <row r="149" spans="2:9" ht="15">
      <c r="B149" s="1061" t="s">
        <v>1974</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ht="15">
      <c r="D155" s="1041"/>
      <c r="E155" s="1112" t="s">
        <v>1975</v>
      </c>
      <c r="F155" s="1128"/>
      <c r="G155" s="1129">
        <f>((G153-G154)/G154)*0.25</f>
        <v>2.1785714285714287E-2</v>
      </c>
      <c r="H155" s="1037"/>
      <c r="I155" s="1037"/>
    </row>
    <row r="156" spans="2:9">
      <c r="D156" s="1040"/>
      <c r="E156" s="1040"/>
    </row>
    <row r="157" spans="2:9" ht="15">
      <c r="B157" s="1061" t="s">
        <v>2216</v>
      </c>
      <c r="C157" s="1062"/>
      <c r="D157" s="1062"/>
      <c r="E157" s="1062"/>
      <c r="F157" s="1062"/>
      <c r="G157" s="1062"/>
      <c r="H157" s="1062"/>
      <c r="I157" s="1063"/>
    </row>
    <row r="159" spans="2:9">
      <c r="E159" s="1079" t="s">
        <v>2573</v>
      </c>
      <c r="G159" s="1039" t="b">
        <f>G37</f>
        <v>0</v>
      </c>
    </row>
    <row r="160" spans="2:9">
      <c r="C160" s="2649" t="s">
        <v>2217</v>
      </c>
      <c r="D160" s="2649"/>
      <c r="E160" s="2649"/>
      <c r="F160" s="2649"/>
    </row>
    <row r="161" spans="2:7">
      <c r="B161" s="1040"/>
      <c r="C161" s="2649"/>
      <c r="D161" s="2649"/>
      <c r="E161" s="2649"/>
      <c r="F161" s="2649"/>
      <c r="G161" s="1038"/>
    </row>
    <row r="162" spans="2:7">
      <c r="B162" s="1040"/>
      <c r="C162" s="1040"/>
      <c r="D162" s="1040"/>
      <c r="E162" s="1040"/>
      <c r="F162" s="1040"/>
    </row>
    <row r="163" spans="2:7">
      <c r="E163" s="1079" t="s">
        <v>2219</v>
      </c>
      <c r="G163" s="1162"/>
    </row>
    <row r="165" spans="2:7">
      <c r="E165" s="1079" t="s">
        <v>2221</v>
      </c>
      <c r="G165" s="1161">
        <f>IF(I9=0,0,G163/I9)</f>
        <v>0</v>
      </c>
    </row>
    <row r="166" spans="2:7">
      <c r="E166" s="1079" t="s">
        <v>2218</v>
      </c>
      <c r="G166" s="1159">
        <f>I9*0.15</f>
        <v>2209248</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90" zoomScaleNormal="9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4" t="s">
        <v>909</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100.5">
      <c r="A3" s="426" t="s">
        <v>910</v>
      </c>
      <c r="B3" s="426" t="s">
        <v>2203</v>
      </c>
      <c r="C3" s="426" t="s">
        <v>2204</v>
      </c>
      <c r="D3" s="1140" t="s">
        <v>2205</v>
      </c>
      <c r="E3" s="204"/>
      <c r="F3" s="1140" t="s">
        <v>911</v>
      </c>
      <c r="G3" s="426" t="s">
        <v>912</v>
      </c>
      <c r="H3" s="427"/>
      <c r="I3" s="426" t="s">
        <v>913</v>
      </c>
      <c r="J3" s="426" t="s">
        <v>914</v>
      </c>
      <c r="K3" s="204"/>
      <c r="L3" s="305"/>
    </row>
    <row r="4" spans="1:12">
      <c r="A4" s="428" t="str">
        <f>Application!B726</f>
        <v>1 Bedroom</v>
      </c>
      <c r="B4" s="1077">
        <f>Application!G726</f>
        <v>17</v>
      </c>
      <c r="C4" s="1155"/>
      <c r="D4" s="428">
        <f>Application!O726</f>
        <v>804</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7</v>
      </c>
      <c r="C5" s="1155"/>
      <c r="D5" s="428">
        <f>Application!O727</f>
        <v>1656</v>
      </c>
      <c r="E5" s="429"/>
      <c r="F5" s="1078"/>
      <c r="G5" s="428">
        <f t="shared" ref="G5:G38" si="2">F5*B5</f>
        <v>0</v>
      </c>
      <c r="H5" s="429"/>
      <c r="I5" s="428" t="str">
        <f t="shared" si="0"/>
        <v/>
      </c>
      <c r="J5" s="428" t="str">
        <f t="shared" si="1"/>
        <v/>
      </c>
      <c r="K5" s="204"/>
      <c r="L5" s="305"/>
    </row>
    <row r="6" spans="1:12">
      <c r="A6" s="428" t="str">
        <f>Application!B728</f>
        <v>1 Bedroom</v>
      </c>
      <c r="B6" s="1077">
        <f>Application!G728</f>
        <v>48</v>
      </c>
      <c r="C6" s="1155"/>
      <c r="D6" s="428">
        <f>Application!O728</f>
        <v>1940</v>
      </c>
      <c r="E6" s="429"/>
      <c r="F6" s="1078"/>
      <c r="G6" s="428">
        <f t="shared" si="2"/>
        <v>0</v>
      </c>
      <c r="H6" s="429"/>
      <c r="I6" s="428" t="str">
        <f t="shared" si="0"/>
        <v/>
      </c>
      <c r="J6" s="428" t="str">
        <f t="shared" si="1"/>
        <v/>
      </c>
      <c r="K6" s="204"/>
      <c r="L6" s="305"/>
    </row>
    <row r="7" spans="1:12">
      <c r="A7" s="428" t="str">
        <f>Application!B729</f>
        <v>2 Bedrooms</v>
      </c>
      <c r="B7" s="1077">
        <f>Application!G729</f>
        <v>12</v>
      </c>
      <c r="C7" s="1155"/>
      <c r="D7" s="428">
        <f>Application!O729</f>
        <v>959.8</v>
      </c>
      <c r="E7" s="429"/>
      <c r="F7" s="1078"/>
      <c r="G7" s="428">
        <f t="shared" si="2"/>
        <v>0</v>
      </c>
      <c r="H7" s="429"/>
      <c r="I7" s="428" t="str">
        <f t="shared" si="0"/>
        <v/>
      </c>
      <c r="J7" s="428" t="str">
        <f t="shared" si="1"/>
        <v/>
      </c>
      <c r="K7" s="204"/>
      <c r="L7" s="305"/>
    </row>
    <row r="8" spans="1:12">
      <c r="A8" s="428" t="str">
        <f>Application!B730</f>
        <v>2 Bedrooms</v>
      </c>
      <c r="B8" s="1077">
        <f>Application!G730</f>
        <v>39</v>
      </c>
      <c r="C8" s="1155"/>
      <c r="D8" s="428">
        <f>Application!O730</f>
        <v>2322.5</v>
      </c>
      <c r="E8" s="429"/>
      <c r="F8" s="1078"/>
      <c r="G8" s="428">
        <f t="shared" si="2"/>
        <v>0</v>
      </c>
      <c r="H8" s="429"/>
      <c r="I8" s="428" t="str">
        <f t="shared" si="0"/>
        <v/>
      </c>
      <c r="J8" s="428" t="str">
        <f t="shared" si="1"/>
        <v/>
      </c>
      <c r="K8" s="204"/>
      <c r="L8" s="305"/>
    </row>
    <row r="9" spans="1:12">
      <c r="A9" s="428" t="str">
        <f>Application!B731</f>
        <v>3 Bedrooms</v>
      </c>
      <c r="B9" s="1077">
        <f>Application!G731</f>
        <v>6</v>
      </c>
      <c r="C9" s="1155"/>
      <c r="D9" s="428">
        <f>Application!O731</f>
        <v>1105.4000000000001</v>
      </c>
      <c r="E9" s="429"/>
      <c r="F9" s="1078"/>
      <c r="G9" s="428">
        <f t="shared" si="2"/>
        <v>0</v>
      </c>
      <c r="H9" s="429"/>
      <c r="I9" s="428" t="str">
        <f t="shared" si="0"/>
        <v/>
      </c>
      <c r="J9" s="428" t="str">
        <f t="shared" si="1"/>
        <v/>
      </c>
      <c r="K9" s="204"/>
      <c r="L9" s="305"/>
    </row>
    <row r="10" spans="1:12">
      <c r="A10" s="428" t="str">
        <f>Application!B732</f>
        <v>3 Bedrooms</v>
      </c>
      <c r="B10" s="1077">
        <f>Application!G732</f>
        <v>4</v>
      </c>
      <c r="C10" s="1155"/>
      <c r="D10" s="428">
        <f>Application!O732</f>
        <v>2286.8000000000002</v>
      </c>
      <c r="E10" s="429"/>
      <c r="F10" s="1078"/>
      <c r="G10" s="428">
        <f t="shared" si="2"/>
        <v>0</v>
      </c>
      <c r="H10" s="429"/>
      <c r="I10" s="428" t="str">
        <f t="shared" si="0"/>
        <v/>
      </c>
      <c r="J10" s="428" t="str">
        <f t="shared" si="1"/>
        <v/>
      </c>
      <c r="K10" s="204"/>
      <c r="L10" s="305"/>
    </row>
    <row r="11" spans="1:12">
      <c r="A11" s="428" t="str">
        <f>Application!B733</f>
        <v>3 Bedrooms</v>
      </c>
      <c r="B11" s="1077">
        <f>Application!G733</f>
        <v>13</v>
      </c>
      <c r="C11" s="1155"/>
      <c r="D11" s="428">
        <f>Application!O733</f>
        <v>2680.6</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271102.5</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2206</v>
      </c>
    </row>
    <row r="43" spans="1:12">
      <c r="A43" s="2685" t="s">
        <v>2427</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2207</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6" zoomScale="85" zoomScaleNormal="85" workbookViewId="0">
      <selection activeCell="T40" sqref="T4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2049</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3279630</v>
      </c>
      <c r="G4" s="219">
        <f>E4*$C$4</f>
        <v>3361620.7499999995</v>
      </c>
      <c r="I4" s="219">
        <f>G4*$C$4</f>
        <v>3445661.2687499993</v>
      </c>
      <c r="K4" s="219">
        <f>I4*$C$4</f>
        <v>3531802.8004687489</v>
      </c>
      <c r="M4" s="219">
        <f>K4*$C$4</f>
        <v>3620097.8704804671</v>
      </c>
      <c r="O4" s="219">
        <f>M4*$C$4</f>
        <v>3710600.3172424785</v>
      </c>
      <c r="Q4" s="219">
        <f>O4*$C$4</f>
        <v>3803365.32517354</v>
      </c>
      <c r="S4" s="219">
        <f>Q4*$C$4</f>
        <v>3898449.4583028783</v>
      </c>
      <c r="U4" s="219">
        <f>S4*$C$4</f>
        <v>3995910.6947604497</v>
      </c>
      <c r="W4" s="219">
        <f>U4*$C$4</f>
        <v>4095808.4621294606</v>
      </c>
      <c r="Y4" s="219">
        <f>W4*$C$4</f>
        <v>4198203.6736826971</v>
      </c>
      <c r="AA4" s="219">
        <f>Y4*$C$4</f>
        <v>4303158.7655247645</v>
      </c>
      <c r="AC4" s="219">
        <f>AA4*$C$4</f>
        <v>4410737.734662883</v>
      </c>
      <c r="AE4" s="219">
        <f>AC4*$C$4</f>
        <v>4521006.1780294543</v>
      </c>
      <c r="AG4" s="219">
        <f>AE4*$C$4</f>
        <v>4634031.3324801903</v>
      </c>
    </row>
    <row r="5" spans="1:34" s="210" customFormat="1" ht="14.25">
      <c r="B5" s="210" t="s">
        <v>838</v>
      </c>
      <c r="C5" s="238">
        <f>IF(Application!$D$211="Special Needs",(((0.1*Application!$T$212)+(0.05*(1-Application!$T$212)))),0.05)</f>
        <v>0.05</v>
      </c>
      <c r="E5" s="221">
        <f>-E4*$C$5</f>
        <v>-163981.5</v>
      </c>
      <c r="F5" s="221"/>
      <c r="G5" s="221">
        <f>-G4*$C$5</f>
        <v>-168081.03749999998</v>
      </c>
      <c r="H5" s="221"/>
      <c r="I5" s="221">
        <f>-I4*$C$5</f>
        <v>-172283.06343749998</v>
      </c>
      <c r="J5" s="221"/>
      <c r="K5" s="221">
        <f>-K4*$C$5</f>
        <v>-176590.14002343745</v>
      </c>
      <c r="L5" s="221"/>
      <c r="M5" s="221">
        <f>-M4*$C$5</f>
        <v>-181004.89352402335</v>
      </c>
      <c r="N5" s="221"/>
      <c r="O5" s="221">
        <f>-O4*$C$5</f>
        <v>-185530.01586212392</v>
      </c>
      <c r="P5" s="221"/>
      <c r="Q5" s="221">
        <f>-Q4*$C$5</f>
        <v>-190168.266258677</v>
      </c>
      <c r="R5" s="221"/>
      <c r="S5" s="221">
        <f>-S4*$C$5</f>
        <v>-194922.47291514394</v>
      </c>
      <c r="T5" s="221"/>
      <c r="U5" s="221">
        <f>-U4*$C$5</f>
        <v>-199795.53473802248</v>
      </c>
      <c r="V5" s="221"/>
      <c r="W5" s="221">
        <f>-W4*$C$5</f>
        <v>-204790.42310647306</v>
      </c>
      <c r="X5" s="221"/>
      <c r="Y5" s="221">
        <f>-Y4*$C$5</f>
        <v>-209910.18368413486</v>
      </c>
      <c r="Z5" s="221"/>
      <c r="AA5" s="221">
        <f>-AA4*$C$5</f>
        <v>-215157.93827623824</v>
      </c>
      <c r="AB5" s="221"/>
      <c r="AC5" s="221">
        <f>-AC4*$C$5</f>
        <v>-220536.88673314417</v>
      </c>
      <c r="AD5" s="221"/>
      <c r="AE5" s="221">
        <f>-AE4*$C$5</f>
        <v>-226050.30890147272</v>
      </c>
      <c r="AF5" s="221"/>
      <c r="AG5" s="221">
        <f>-AG4*$C$5</f>
        <v>-231701.56662400952</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324000</v>
      </c>
      <c r="F8" s="222"/>
      <c r="G8" s="222">
        <f>E8*$C$8</f>
        <v>332100</v>
      </c>
      <c r="H8" s="222"/>
      <c r="I8" s="222">
        <f>G8*$C$8</f>
        <v>340402.49999999994</v>
      </c>
      <c r="J8" s="222"/>
      <c r="K8" s="222">
        <f>I8*$C$8</f>
        <v>348912.56249999988</v>
      </c>
      <c r="L8" s="222"/>
      <c r="M8" s="222">
        <f>K8*$C$8</f>
        <v>357635.37656249985</v>
      </c>
      <c r="N8" s="222"/>
      <c r="O8" s="222">
        <f>M8*$C$8</f>
        <v>366576.26097656233</v>
      </c>
      <c r="P8" s="222"/>
      <c r="Q8" s="222">
        <f>O8*$C$8</f>
        <v>375740.66750097636</v>
      </c>
      <c r="R8" s="222"/>
      <c r="S8" s="222">
        <f>Q8*$C$8</f>
        <v>385134.18418850075</v>
      </c>
      <c r="T8" s="222"/>
      <c r="U8" s="222">
        <f>S8*$C$8</f>
        <v>394762.53879321326</v>
      </c>
      <c r="V8" s="222"/>
      <c r="W8" s="222">
        <f>U8*$C$8</f>
        <v>404631.60226304358</v>
      </c>
      <c r="X8" s="222"/>
      <c r="Y8" s="222">
        <f>W8*$C$8</f>
        <v>414747.39231961966</v>
      </c>
      <c r="Z8" s="222"/>
      <c r="AA8" s="222">
        <f>Y8*$C$8</f>
        <v>425116.0771276101</v>
      </c>
      <c r="AB8" s="222"/>
      <c r="AC8" s="222">
        <f>AA8*$C$8</f>
        <v>435743.9790558003</v>
      </c>
      <c r="AD8" s="222"/>
      <c r="AE8" s="222">
        <f>AC8*$C$8</f>
        <v>446637.57853219524</v>
      </c>
      <c r="AF8" s="222"/>
      <c r="AG8" s="222">
        <f>AE8*$C$8</f>
        <v>457803.51799550006</v>
      </c>
    </row>
    <row r="9" spans="1:34" s="210" customFormat="1" ht="14.25">
      <c r="B9" s="210" t="s">
        <v>838</v>
      </c>
      <c r="C9" s="238">
        <f>IF(Application!$D$211="Special Needs",(((0.1*Application!$T$212)+(0.05*(1-Application!$T$212)))),0.05)</f>
        <v>0.05</v>
      </c>
      <c r="E9" s="221">
        <f>-E8*$C$9</f>
        <v>-16200</v>
      </c>
      <c r="F9" s="221"/>
      <c r="G9" s="221">
        <f>-G8*$C$9</f>
        <v>-16605</v>
      </c>
      <c r="H9" s="221"/>
      <c r="I9" s="221">
        <f>-I8*$C$9</f>
        <v>-17020.124999999996</v>
      </c>
      <c r="J9" s="221"/>
      <c r="K9" s="221">
        <f>-K8*$C$9</f>
        <v>-17445.628124999996</v>
      </c>
      <c r="L9" s="221"/>
      <c r="M9" s="221">
        <f>-M8*$C$9</f>
        <v>-17881.768828124994</v>
      </c>
      <c r="N9" s="221"/>
      <c r="O9" s="221">
        <f>-O8*$C$9</f>
        <v>-18328.813048828117</v>
      </c>
      <c r="P9" s="221"/>
      <c r="Q9" s="221">
        <f>-Q8*$C$9</f>
        <v>-18787.033375048817</v>
      </c>
      <c r="R9" s="221"/>
      <c r="S9" s="221">
        <f>-S8*$C$9</f>
        <v>-19256.709209425037</v>
      </c>
      <c r="T9" s="221"/>
      <c r="U9" s="221">
        <f>-U8*$C$9</f>
        <v>-19738.126939660666</v>
      </c>
      <c r="V9" s="221"/>
      <c r="W9" s="221">
        <f>-W8*$C$9</f>
        <v>-20231.58011315218</v>
      </c>
      <c r="X9" s="221"/>
      <c r="Y9" s="221">
        <f>-Y8*$C$9</f>
        <v>-20737.369615980984</v>
      </c>
      <c r="Z9" s="221"/>
      <c r="AA9" s="221">
        <f>-AA8*$C$9</f>
        <v>-21255.803856380506</v>
      </c>
      <c r="AB9" s="221"/>
      <c r="AC9" s="221">
        <f>-AC8*$C$9</f>
        <v>-21787.198952790015</v>
      </c>
      <c r="AD9" s="221"/>
      <c r="AE9" s="221">
        <f>-AE8*$C$9</f>
        <v>-22331.878926609763</v>
      </c>
      <c r="AF9" s="221"/>
      <c r="AG9" s="221">
        <f>-AG8*$C$9</f>
        <v>-22890.175899775004</v>
      </c>
    </row>
    <row r="10" spans="1:34" s="210" customFormat="1" ht="14.25">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3423448.5</v>
      </c>
      <c r="G11" s="223">
        <f>SUM(G4:G10)</f>
        <v>3509034.7124999994</v>
      </c>
      <c r="I11" s="223">
        <f>SUM(I4:I10)</f>
        <v>3596760.5803124993</v>
      </c>
      <c r="K11" s="223">
        <f>SUM(K4:K10)</f>
        <v>3686679.5948203118</v>
      </c>
      <c r="M11" s="223">
        <f>SUM(M4:M10)</f>
        <v>3778846.5846908186</v>
      </c>
      <c r="O11" s="223">
        <f>SUM(O4:O10)</f>
        <v>3873317.7493080888</v>
      </c>
      <c r="Q11" s="223">
        <f>SUM(Q4:Q10)</f>
        <v>3970150.6930407905</v>
      </c>
      <c r="S11" s="223">
        <f>SUM(S4:S10)</f>
        <v>4069404.4603668102</v>
      </c>
      <c r="U11" s="223">
        <f>SUM(U4:U10)</f>
        <v>4171139.5718759797</v>
      </c>
      <c r="W11" s="223">
        <f>SUM(W4:W10)</f>
        <v>4275418.0611728793</v>
      </c>
      <c r="Y11" s="223">
        <f>SUM(Y4:Y10)</f>
        <v>4382303.5127022006</v>
      </c>
      <c r="AA11" s="223">
        <f>SUM(AA4:AA10)</f>
        <v>4491861.1005197559</v>
      </c>
      <c r="AC11" s="223">
        <f>SUM(AC4:AC10)</f>
        <v>4604157.6280327486</v>
      </c>
      <c r="AE11" s="223">
        <f>SUM(AE4:AE10)</f>
        <v>4719261.5687335674</v>
      </c>
      <c r="AG11" s="223">
        <f>SUM(AG4:AG10)</f>
        <v>4837243.1079519056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154782</v>
      </c>
      <c r="G15" s="219">
        <f>E15*$C$14</f>
        <v>160199.37</v>
      </c>
      <c r="I15" s="219">
        <f>G15*$C$14</f>
        <v>165806.34795</v>
      </c>
      <c r="K15" s="219">
        <f>I15*$C$14</f>
        <v>171609.57012824999</v>
      </c>
      <c r="M15" s="219">
        <f>K15*$C$14</f>
        <v>177615.90508273873</v>
      </c>
      <c r="O15" s="219">
        <f>M15*$C$14</f>
        <v>183832.46176063456</v>
      </c>
      <c r="Q15" s="219">
        <f>O15*$C$14</f>
        <v>190266.59792225674</v>
      </c>
      <c r="S15" s="219">
        <f>Q15*$C$14</f>
        <v>196925.9288495357</v>
      </c>
      <c r="U15" s="219">
        <f>S15*$C$14</f>
        <v>203818.33635926945</v>
      </c>
      <c r="W15" s="219">
        <f>U15*$C$14</f>
        <v>210951.97813184388</v>
      </c>
      <c r="Y15" s="219">
        <f>W15*$C$14</f>
        <v>218335.2973664584</v>
      </c>
      <c r="AA15" s="219">
        <f>Y15*$C$14</f>
        <v>225977.03277428442</v>
      </c>
      <c r="AC15" s="219">
        <f>AA15*$C$14</f>
        <v>233886.22892138435</v>
      </c>
      <c r="AE15" s="219">
        <f>AC15*$C$14</f>
        <v>242072.24693363279</v>
      </c>
      <c r="AG15" s="219">
        <f>AE15*$C$14</f>
        <v>250544.77557630991</v>
      </c>
    </row>
    <row r="16" spans="1:34" s="210" customFormat="1" ht="14.25">
      <c r="A16" s="210" t="s">
        <v>344</v>
      </c>
      <c r="C16" s="233"/>
      <c r="E16" s="222">
        <f>Application!W857</f>
        <v>128339</v>
      </c>
      <c r="F16" s="222"/>
      <c r="G16" s="222">
        <f t="shared" ref="G16:AG21" si="0">E16*$C$14</f>
        <v>132830.86499999999</v>
      </c>
      <c r="H16" s="222"/>
      <c r="I16" s="222">
        <f t="shared" si="0"/>
        <v>137479.94527499998</v>
      </c>
      <c r="J16" s="222"/>
      <c r="K16" s="222">
        <f t="shared" si="0"/>
        <v>142291.74335962496</v>
      </c>
      <c r="L16" s="222"/>
      <c r="M16" s="222">
        <f t="shared" si="0"/>
        <v>147271.95437721183</v>
      </c>
      <c r="N16" s="222"/>
      <c r="O16" s="222">
        <f t="shared" si="0"/>
        <v>152426.47278041425</v>
      </c>
      <c r="P16" s="222"/>
      <c r="Q16" s="222">
        <f t="shared" si="0"/>
        <v>157761.39932772872</v>
      </c>
      <c r="R16" s="222"/>
      <c r="S16" s="222">
        <f t="shared" si="0"/>
        <v>163283.04830419921</v>
      </c>
      <c r="T16" s="222"/>
      <c r="U16" s="222">
        <f t="shared" si="0"/>
        <v>168997.95499484616</v>
      </c>
      <c r="V16" s="222"/>
      <c r="W16" s="222">
        <f t="shared" si="0"/>
        <v>174912.88341966577</v>
      </c>
      <c r="X16" s="222"/>
      <c r="Y16" s="222">
        <f t="shared" si="0"/>
        <v>181034.83433935407</v>
      </c>
      <c r="Z16" s="222"/>
      <c r="AA16" s="222">
        <f t="shared" si="0"/>
        <v>187371.05354123143</v>
      </c>
      <c r="AB16" s="222"/>
      <c r="AC16" s="222">
        <f t="shared" si="0"/>
        <v>193929.04041517453</v>
      </c>
      <c r="AD16" s="222"/>
      <c r="AE16" s="222">
        <f t="shared" si="0"/>
        <v>200716.55682970563</v>
      </c>
      <c r="AF16" s="222"/>
      <c r="AG16" s="222">
        <f t="shared" si="0"/>
        <v>207741.63631874532</v>
      </c>
    </row>
    <row r="17" spans="1:33" s="210" customFormat="1" ht="14.25">
      <c r="A17" s="210" t="s">
        <v>561</v>
      </c>
      <c r="C17" s="233"/>
      <c r="E17" s="222">
        <f>Application!W863</f>
        <v>148859</v>
      </c>
      <c r="F17" s="222"/>
      <c r="G17" s="222">
        <f t="shared" si="0"/>
        <v>154069.065</v>
      </c>
      <c r="H17" s="222"/>
      <c r="I17" s="222">
        <f t="shared" si="0"/>
        <v>159461.48227499999</v>
      </c>
      <c r="J17" s="222"/>
      <c r="K17" s="222">
        <f t="shared" si="0"/>
        <v>165042.63415462498</v>
      </c>
      <c r="L17" s="222"/>
      <c r="M17" s="222">
        <f t="shared" si="0"/>
        <v>170819.12635003682</v>
      </c>
      <c r="N17" s="222"/>
      <c r="O17" s="222">
        <f t="shared" si="0"/>
        <v>176797.79577228811</v>
      </c>
      <c r="P17" s="222"/>
      <c r="Q17" s="222">
        <f t="shared" si="0"/>
        <v>182985.71862431819</v>
      </c>
      <c r="R17" s="222"/>
      <c r="S17" s="222">
        <f t="shared" si="0"/>
        <v>189390.21877616932</v>
      </c>
      <c r="T17" s="222"/>
      <c r="U17" s="222">
        <f t="shared" si="0"/>
        <v>196018.87643333524</v>
      </c>
      <c r="V17" s="222"/>
      <c r="W17" s="222">
        <f t="shared" si="0"/>
        <v>202879.53710850197</v>
      </c>
      <c r="X17" s="222"/>
      <c r="Y17" s="222">
        <f t="shared" si="0"/>
        <v>209980.32090729952</v>
      </c>
      <c r="Z17" s="222"/>
      <c r="AA17" s="222">
        <f t="shared" si="0"/>
        <v>217329.632139055</v>
      </c>
      <c r="AB17" s="222"/>
      <c r="AC17" s="222">
        <f t="shared" si="0"/>
        <v>224936.16926392191</v>
      </c>
      <c r="AD17" s="222"/>
      <c r="AE17" s="222">
        <f t="shared" si="0"/>
        <v>232808.93518815917</v>
      </c>
      <c r="AF17" s="222"/>
      <c r="AG17" s="222">
        <f t="shared" si="0"/>
        <v>240957.24791974472</v>
      </c>
    </row>
    <row r="18" spans="1:33" s="210" customFormat="1" ht="14.25">
      <c r="A18" s="210" t="s">
        <v>842</v>
      </c>
      <c r="C18" s="233"/>
      <c r="E18" s="222">
        <f>Application!W870</f>
        <v>241148</v>
      </c>
      <c r="F18" s="222"/>
      <c r="G18" s="222">
        <f t="shared" si="0"/>
        <v>249588.18</v>
      </c>
      <c r="H18" s="222"/>
      <c r="I18" s="222">
        <f t="shared" si="0"/>
        <v>258323.76629999996</v>
      </c>
      <c r="J18" s="222"/>
      <c r="K18" s="222">
        <f t="shared" si="0"/>
        <v>267365.09812049993</v>
      </c>
      <c r="L18" s="222"/>
      <c r="M18" s="222">
        <f t="shared" si="0"/>
        <v>276722.87655471743</v>
      </c>
      <c r="N18" s="222"/>
      <c r="O18" s="222">
        <f t="shared" si="0"/>
        <v>286408.17723413254</v>
      </c>
      <c r="P18" s="222"/>
      <c r="Q18" s="222">
        <f t="shared" si="0"/>
        <v>296432.46343732718</v>
      </c>
      <c r="R18" s="222"/>
      <c r="S18" s="222">
        <f t="shared" si="0"/>
        <v>306807.59965763363</v>
      </c>
      <c r="T18" s="222"/>
      <c r="U18" s="222">
        <f t="shared" si="0"/>
        <v>317545.86564565077</v>
      </c>
      <c r="V18" s="222"/>
      <c r="W18" s="222">
        <f t="shared" si="0"/>
        <v>328659.97094324854</v>
      </c>
      <c r="X18" s="222"/>
      <c r="Y18" s="222">
        <f t="shared" si="0"/>
        <v>340163.06992626219</v>
      </c>
      <c r="Z18" s="222"/>
      <c r="AA18" s="222">
        <f t="shared" si="0"/>
        <v>352068.77737368137</v>
      </c>
      <c r="AB18" s="222"/>
      <c r="AC18" s="222">
        <f t="shared" si="0"/>
        <v>364391.1845817602</v>
      </c>
      <c r="AD18" s="222"/>
      <c r="AE18" s="222">
        <f t="shared" si="0"/>
        <v>377144.87604212179</v>
      </c>
      <c r="AF18" s="222"/>
      <c r="AG18" s="222">
        <f t="shared" si="0"/>
        <v>390344.94670359604</v>
      </c>
    </row>
    <row r="19" spans="1:33" s="210" customFormat="1" ht="14.25">
      <c r="A19" s="210" t="s">
        <v>155</v>
      </c>
      <c r="C19" s="233"/>
      <c r="E19" s="222">
        <f>Application!W872</f>
        <v>94554</v>
      </c>
      <c r="F19" s="222"/>
      <c r="G19" s="222">
        <f t="shared" si="0"/>
        <v>97863.39</v>
      </c>
      <c r="H19" s="222"/>
      <c r="I19" s="222">
        <f t="shared" si="0"/>
        <v>101288.60864999999</v>
      </c>
      <c r="J19" s="222"/>
      <c r="K19" s="222">
        <f t="shared" si="0"/>
        <v>104833.70995274998</v>
      </c>
      <c r="L19" s="222"/>
      <c r="M19" s="222">
        <f t="shared" si="0"/>
        <v>108502.88980109623</v>
      </c>
      <c r="N19" s="222"/>
      <c r="O19" s="222">
        <f t="shared" si="0"/>
        <v>112300.4909441346</v>
      </c>
      <c r="P19" s="222"/>
      <c r="Q19" s="222">
        <f t="shared" si="0"/>
        <v>116231.0081271793</v>
      </c>
      <c r="R19" s="222"/>
      <c r="S19" s="222">
        <f t="shared" si="0"/>
        <v>120299.09341163057</v>
      </c>
      <c r="T19" s="222"/>
      <c r="U19" s="222">
        <f t="shared" si="0"/>
        <v>124509.56168103764</v>
      </c>
      <c r="V19" s="222"/>
      <c r="W19" s="222">
        <f t="shared" si="0"/>
        <v>128867.39633987394</v>
      </c>
      <c r="X19" s="222"/>
      <c r="Y19" s="222">
        <f t="shared" si="0"/>
        <v>133377.75521176952</v>
      </c>
      <c r="Z19" s="222"/>
      <c r="AA19" s="222">
        <f t="shared" si="0"/>
        <v>138045.97664418144</v>
      </c>
      <c r="AB19" s="222"/>
      <c r="AC19" s="222">
        <f t="shared" si="0"/>
        <v>142877.58582672779</v>
      </c>
      <c r="AD19" s="222"/>
      <c r="AE19" s="222">
        <f t="shared" si="0"/>
        <v>147878.30133066326</v>
      </c>
      <c r="AF19" s="222"/>
      <c r="AG19" s="222">
        <f t="shared" si="0"/>
        <v>153054.04187723648</v>
      </c>
    </row>
    <row r="20" spans="1:33" s="210" customFormat="1" ht="14.25">
      <c r="A20" s="210" t="s">
        <v>390</v>
      </c>
      <c r="C20" s="233"/>
      <c r="E20" s="222">
        <f>Application!W881</f>
        <v>158418</v>
      </c>
      <c r="F20" s="222"/>
      <c r="G20" s="222">
        <f t="shared" si="0"/>
        <v>163962.62999999998</v>
      </c>
      <c r="H20" s="222"/>
      <c r="I20" s="222">
        <f t="shared" si="0"/>
        <v>169701.32204999996</v>
      </c>
      <c r="J20" s="222"/>
      <c r="K20" s="222">
        <f t="shared" si="0"/>
        <v>175640.86832174993</v>
      </c>
      <c r="L20" s="222"/>
      <c r="M20" s="222">
        <f t="shared" si="0"/>
        <v>181788.29871301117</v>
      </c>
      <c r="N20" s="222"/>
      <c r="O20" s="222">
        <f t="shared" si="0"/>
        <v>188150.88916796655</v>
      </c>
      <c r="P20" s="222"/>
      <c r="Q20" s="222">
        <f t="shared" si="0"/>
        <v>194736.17028884537</v>
      </c>
      <c r="R20" s="222"/>
      <c r="S20" s="222">
        <f t="shared" si="0"/>
        <v>201551.93624895494</v>
      </c>
      <c r="T20" s="222"/>
      <c r="U20" s="222">
        <f t="shared" si="0"/>
        <v>208606.25401766834</v>
      </c>
      <c r="V20" s="222"/>
      <c r="W20" s="222">
        <f t="shared" si="0"/>
        <v>215907.47290828673</v>
      </c>
      <c r="X20" s="222"/>
      <c r="Y20" s="222">
        <f t="shared" si="0"/>
        <v>223464.23446007675</v>
      </c>
      <c r="Z20" s="222"/>
      <c r="AA20" s="222">
        <f t="shared" si="0"/>
        <v>231285.48266617942</v>
      </c>
      <c r="AB20" s="222"/>
      <c r="AC20" s="222">
        <f t="shared" si="0"/>
        <v>239380.47455949569</v>
      </c>
      <c r="AD20" s="222"/>
      <c r="AE20" s="222">
        <f t="shared" si="0"/>
        <v>247758.79116907803</v>
      </c>
      <c r="AF20" s="222"/>
      <c r="AG20" s="222">
        <f t="shared" si="0"/>
        <v>256430.34885999575</v>
      </c>
    </row>
    <row r="21" spans="1:33" s="210" customFormat="1" ht="14.25">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926100</v>
      </c>
      <c r="G22" s="223">
        <f>SUM(G15:G21)</f>
        <v>958513.5</v>
      </c>
      <c r="I22" s="223">
        <f>SUM(I15:I21)</f>
        <v>992061.47249999992</v>
      </c>
      <c r="K22" s="223">
        <f>SUM(K15:K21)</f>
        <v>1026783.6240374999</v>
      </c>
      <c r="M22" s="223">
        <f>SUM(M15:M21)</f>
        <v>1062721.0508788123</v>
      </c>
      <c r="O22" s="223">
        <f>SUM(O15:O21)</f>
        <v>1099916.2876595706</v>
      </c>
      <c r="Q22" s="223">
        <f>SUM(Q15:Q21)</f>
        <v>1138413.3577276554</v>
      </c>
      <c r="S22" s="223">
        <f>SUM(S15:S21)</f>
        <v>1178257.8252481234</v>
      </c>
      <c r="U22" s="223">
        <f>SUM(U15:U21)</f>
        <v>1219496.8491318077</v>
      </c>
      <c r="W22" s="223">
        <f>SUM(W15:W21)</f>
        <v>1262179.2388514208</v>
      </c>
      <c r="Y22" s="223">
        <f>SUM(Y15:Y21)</f>
        <v>1306355.5122112206</v>
      </c>
      <c r="AA22" s="223">
        <f>SUM(AA15:AA21)</f>
        <v>1352077.955138613</v>
      </c>
      <c r="AC22" s="223">
        <f>SUM(AC15:AC21)</f>
        <v>1399400.6835684646</v>
      </c>
      <c r="AE22" s="223">
        <f>SUM(AE15:AE21)</f>
        <v>1448379.7074933606</v>
      </c>
      <c r="AG22" s="223">
        <f>SUM(AG15:AG21)</f>
        <v>1499072.9972556282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v>1.03</v>
      </c>
      <c r="E24" s="906">
        <v>425000</v>
      </c>
      <c r="F24" s="222"/>
      <c r="G24" s="222">
        <f>E24*$C$24</f>
        <v>437750</v>
      </c>
      <c r="H24" s="222"/>
      <c r="I24" s="222">
        <f>G24*$C$24</f>
        <v>450882.5</v>
      </c>
      <c r="J24" s="222"/>
      <c r="K24" s="222">
        <f>I24*$C$24</f>
        <v>464408.97500000003</v>
      </c>
      <c r="L24" s="222"/>
      <c r="M24" s="222">
        <f>K24*$C$24</f>
        <v>478341.24425000005</v>
      </c>
      <c r="N24" s="222"/>
      <c r="O24" s="222">
        <f>M24*$C$24</f>
        <v>492691.48157750006</v>
      </c>
      <c r="P24" s="222"/>
      <c r="Q24" s="222">
        <f>O24*$C$24</f>
        <v>507472.22602482507</v>
      </c>
      <c r="R24" s="222"/>
      <c r="S24" s="222">
        <f>Q24*$C$24</f>
        <v>522696.39280556981</v>
      </c>
      <c r="T24" s="222"/>
      <c r="U24" s="222">
        <f>S24*$C$24</f>
        <v>538377.28458973696</v>
      </c>
      <c r="V24" s="222"/>
      <c r="W24" s="222">
        <f>U24*$C$24</f>
        <v>554528.60312742903</v>
      </c>
      <c r="X24" s="222"/>
      <c r="Y24" s="222">
        <f>W24*$C$24</f>
        <v>571164.46122125187</v>
      </c>
      <c r="Z24" s="222"/>
      <c r="AA24" s="222">
        <f>Y24*$C$24</f>
        <v>588299.3950578894</v>
      </c>
      <c r="AB24" s="222"/>
      <c r="AC24" s="222">
        <f>AA24*$C$24</f>
        <v>605948.37690962607</v>
      </c>
      <c r="AD24" s="222"/>
      <c r="AE24" s="222">
        <f>AC24*$C$24</f>
        <v>624126.8282169149</v>
      </c>
      <c r="AF24" s="222"/>
      <c r="AG24" s="222">
        <f>AE24*$C$24</f>
        <v>642850.6330634224</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27000</v>
      </c>
      <c r="F27" s="222"/>
      <c r="G27" s="222">
        <f>E27*$C$27</f>
        <v>27944.999999999996</v>
      </c>
      <c r="H27" s="222"/>
      <c r="I27" s="222">
        <f>G27*$C$27</f>
        <v>28923.074999999993</v>
      </c>
      <c r="J27" s="222"/>
      <c r="K27" s="222">
        <f>I27*$C$27</f>
        <v>29935.382624999991</v>
      </c>
      <c r="L27" s="222"/>
      <c r="M27" s="222">
        <f>K27*$C$27</f>
        <v>30983.121016874989</v>
      </c>
      <c r="N27" s="222"/>
      <c r="O27" s="222">
        <f>M27*$C$27</f>
        <v>32067.530252465611</v>
      </c>
      <c r="P27" s="222"/>
      <c r="Q27" s="222">
        <f>O27*$C$27</f>
        <v>33189.893811301903</v>
      </c>
      <c r="R27" s="222"/>
      <c r="S27" s="222">
        <f>Q27*$C$27</f>
        <v>34351.54009469747</v>
      </c>
      <c r="T27" s="222"/>
      <c r="U27" s="222">
        <f>S27*$C$27</f>
        <v>35553.843998011878</v>
      </c>
      <c r="V27" s="222"/>
      <c r="W27" s="222">
        <f>U27*$C$27</f>
        <v>36798.22853794229</v>
      </c>
      <c r="X27" s="222"/>
      <c r="Y27" s="222">
        <f>W27*$C$27</f>
        <v>38086.166536770266</v>
      </c>
      <c r="Z27" s="222"/>
      <c r="AA27" s="222">
        <f>Y27*$C$27</f>
        <v>39419.182365557223</v>
      </c>
      <c r="AB27" s="222"/>
      <c r="AC27" s="222">
        <f>AA27*$C$27</f>
        <v>40798.853748351721</v>
      </c>
      <c r="AD27" s="222"/>
      <c r="AE27" s="222">
        <f>AC27*$C$27</f>
        <v>42226.813629544027</v>
      </c>
      <c r="AF27" s="222"/>
      <c r="AG27" s="222">
        <f>AE27*$C$27</f>
        <v>43704.752106578067</v>
      </c>
    </row>
    <row r="28" spans="1:33" s="210" customFormat="1" ht="14.25">
      <c r="A28" s="210" t="s">
        <v>846</v>
      </c>
      <c r="C28" s="237"/>
      <c r="E28" s="222">
        <f>Application!AC898</f>
        <v>44100</v>
      </c>
      <c r="F28" s="222"/>
      <c r="G28" s="222">
        <f>$E$28</f>
        <v>44100</v>
      </c>
      <c r="H28" s="222"/>
      <c r="I28" s="222">
        <f>$E$28</f>
        <v>44100</v>
      </c>
      <c r="J28" s="222"/>
      <c r="K28" s="222">
        <f>$E$28</f>
        <v>44100</v>
      </c>
      <c r="L28" s="222"/>
      <c r="M28" s="222">
        <f>$E$28</f>
        <v>44100</v>
      </c>
      <c r="N28" s="222"/>
      <c r="O28" s="222">
        <f>$E$28</f>
        <v>44100</v>
      </c>
      <c r="P28" s="222"/>
      <c r="Q28" s="222">
        <f>$E$28</f>
        <v>44100</v>
      </c>
      <c r="R28" s="222"/>
      <c r="S28" s="222">
        <f>$E$28</f>
        <v>44100</v>
      </c>
      <c r="T28" s="222"/>
      <c r="U28" s="222">
        <f>$E$28</f>
        <v>44100</v>
      </c>
      <c r="V28" s="222"/>
      <c r="W28" s="222">
        <f>$E$28</f>
        <v>44100</v>
      </c>
      <c r="X28" s="222"/>
      <c r="Y28" s="222">
        <f>$E$28</f>
        <v>44100</v>
      </c>
      <c r="Z28" s="222"/>
      <c r="AA28" s="222">
        <f>$E$28</f>
        <v>44100</v>
      </c>
      <c r="AB28" s="222"/>
      <c r="AC28" s="222">
        <f>$E$28</f>
        <v>44100</v>
      </c>
      <c r="AD28" s="222"/>
      <c r="AE28" s="222">
        <f>$E$28</f>
        <v>44100</v>
      </c>
      <c r="AF28" s="222"/>
      <c r="AG28" s="222">
        <f>$E$28</f>
        <v>44100</v>
      </c>
    </row>
    <row r="29" spans="1:33" s="210" customFormat="1" ht="14.25">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(specify here)</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Bond Issuer Fees</v>
      </c>
      <c r="C33" s="316">
        <v>1</v>
      </c>
      <c r="E33" s="222">
        <f>Application!AC904</f>
        <v>7240</v>
      </c>
      <c r="F33" s="222"/>
      <c r="G33" s="222">
        <f>E33*$C$33</f>
        <v>7240</v>
      </c>
      <c r="H33" s="222"/>
      <c r="I33" s="222">
        <f>G33*$C$33</f>
        <v>7240</v>
      </c>
      <c r="J33" s="222"/>
      <c r="K33" s="222">
        <f>I33*$C$33</f>
        <v>7240</v>
      </c>
      <c r="L33" s="222"/>
      <c r="M33" s="222">
        <f>K33*$C$33</f>
        <v>7240</v>
      </c>
      <c r="N33" s="222"/>
      <c r="O33" s="222">
        <f>M33*$C$33</f>
        <v>7240</v>
      </c>
      <c r="P33" s="222"/>
      <c r="Q33" s="222">
        <f>O33*$C$33</f>
        <v>7240</v>
      </c>
      <c r="R33" s="222"/>
      <c r="S33" s="222">
        <f>Q33*$C$33</f>
        <v>7240</v>
      </c>
      <c r="T33" s="222"/>
      <c r="U33" s="222">
        <f>S33*$C$33</f>
        <v>7240</v>
      </c>
      <c r="V33" s="222"/>
      <c r="W33" s="222">
        <f>U33*$C$33</f>
        <v>7240</v>
      </c>
      <c r="X33" s="222"/>
      <c r="Y33" s="222">
        <f>W33*$C$33</f>
        <v>7240</v>
      </c>
      <c r="Z33" s="222"/>
      <c r="AA33" s="222">
        <f>Y33*$C$33</f>
        <v>7240</v>
      </c>
      <c r="AB33" s="222"/>
      <c r="AC33" s="222">
        <f>AA33*$C$33</f>
        <v>7240</v>
      </c>
      <c r="AD33" s="222"/>
      <c r="AE33" s="222">
        <f>AC33*$C$33</f>
        <v>7240</v>
      </c>
      <c r="AF33" s="222"/>
      <c r="AG33" s="222">
        <f>AE33*$C$33</f>
        <v>7240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1429440</v>
      </c>
      <c r="G35" s="223">
        <f>SUM(G22:G33)</f>
        <v>1475548.5</v>
      </c>
      <c r="I35" s="223">
        <f>SUM(I22:I33)</f>
        <v>1523207.0474999999</v>
      </c>
      <c r="K35" s="223">
        <f>SUM(K22:K33)</f>
        <v>1572467.9816625</v>
      </c>
      <c r="M35" s="223">
        <f>SUM(M22:M33)</f>
        <v>1623385.4161456872</v>
      </c>
      <c r="O35" s="223">
        <f>SUM(O22:O33)</f>
        <v>1676015.2994895361</v>
      </c>
      <c r="Q35" s="223">
        <f>SUM(Q22:Q33)</f>
        <v>1730415.4775637824</v>
      </c>
      <c r="S35" s="223">
        <f>SUM(S22:S33)</f>
        <v>1786645.7581483906</v>
      </c>
      <c r="U35" s="223">
        <f>SUM(U22:U33)</f>
        <v>1844767.9777195565</v>
      </c>
      <c r="W35" s="223">
        <f>SUM(W22:W33)</f>
        <v>1904846.0705167921</v>
      </c>
      <c r="Y35" s="223">
        <f>SUM(Y22:Y33)</f>
        <v>1966946.1399692427</v>
      </c>
      <c r="AA35" s="223">
        <f>SUM(AA22:AA33)</f>
        <v>2031136.5325620596</v>
      </c>
      <c r="AC35" s="223">
        <f>SUM(AC22:AC33)</f>
        <v>2097487.9142264426</v>
      </c>
      <c r="AE35" s="223">
        <f>SUM(AE22:AE33)</f>
        <v>2166073.3493398195</v>
      </c>
      <c r="AG35" s="223">
        <f>SUM(AG22:AG33)</f>
        <v>2236968.3824256286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1994008.5</v>
      </c>
      <c r="G37" s="223">
        <f>G11-G35</f>
        <v>2033486.2124999994</v>
      </c>
      <c r="I37" s="223">
        <f>I11-I35</f>
        <v>2073553.5328124994</v>
      </c>
      <c r="K37" s="223">
        <f>K11-K35</f>
        <v>2114211.6131578116</v>
      </c>
      <c r="M37" s="223">
        <f>M11-M35</f>
        <v>2155461.1685451316</v>
      </c>
      <c r="O37" s="223">
        <f>O11-O35</f>
        <v>2197302.4498185525</v>
      </c>
      <c r="Q37" s="223">
        <f>Q11-Q35</f>
        <v>2239735.2154770084</v>
      </c>
      <c r="S37" s="223">
        <f>S11-S35</f>
        <v>2282758.7022184199</v>
      </c>
      <c r="U37" s="223">
        <f>U11-U35</f>
        <v>2326371.5941564231</v>
      </c>
      <c r="W37" s="223">
        <f>W11-W35</f>
        <v>2370571.9906560872</v>
      </c>
      <c r="Y37" s="223">
        <f>Y11-Y35</f>
        <v>2415357.3727329578</v>
      </c>
      <c r="AA37" s="223">
        <f>AA11-AA35</f>
        <v>2460724.5679576965</v>
      </c>
      <c r="AC37" s="223">
        <f>AC11-AC35</f>
        <v>2506669.713806306</v>
      </c>
      <c r="AE37" s="223">
        <f>AE11-AE35</f>
        <v>2553188.2193937479</v>
      </c>
      <c r="AG37" s="223">
        <f>AG11-AG35</f>
        <v>2600274.725526277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 - Perm Bond Proceeds</v>
      </c>
      <c r="B40" s="226"/>
      <c r="C40" s="220"/>
      <c r="E40" s="222">
        <f>Application!AF635</f>
        <v>1767547.5986655918</v>
      </c>
      <c r="F40" s="222"/>
      <c r="G40" s="222">
        <f>$E$40</f>
        <v>1767547.5986655918</v>
      </c>
      <c r="H40" s="222"/>
      <c r="I40" s="222">
        <f>$E$40</f>
        <v>1767547.5986655918</v>
      </c>
      <c r="J40" s="222"/>
      <c r="K40" s="222">
        <f>$E$40</f>
        <v>1767547.5986655918</v>
      </c>
      <c r="L40" s="222"/>
      <c r="M40" s="222">
        <f>$E$40</f>
        <v>1767547.5986655918</v>
      </c>
      <c r="N40" s="222"/>
      <c r="O40" s="222">
        <f>$E$40</f>
        <v>1767547.5986655918</v>
      </c>
      <c r="P40" s="222"/>
      <c r="Q40" s="222">
        <f>$E$40</f>
        <v>1767547.5986655918</v>
      </c>
      <c r="R40" s="222"/>
      <c r="S40" s="222">
        <f>$E$40</f>
        <v>1767547.5986655918</v>
      </c>
      <c r="T40" s="222"/>
      <c r="U40" s="222">
        <f>$E$40</f>
        <v>1767547.5986655918</v>
      </c>
      <c r="V40" s="222"/>
      <c r="W40" s="222">
        <f>$E$40</f>
        <v>1767547.5986655918</v>
      </c>
      <c r="X40" s="222"/>
      <c r="Y40" s="222">
        <f>$E$40</f>
        <v>1767547.5986655918</v>
      </c>
      <c r="Z40" s="222"/>
      <c r="AA40" s="222">
        <f>$E$40</f>
        <v>1767547.5986655918</v>
      </c>
      <c r="AB40" s="222"/>
      <c r="AC40" s="222">
        <f>$E$40</f>
        <v>1767547.5986655918</v>
      </c>
      <c r="AD40" s="222"/>
      <c r="AE40" s="222">
        <f>$E$40</f>
        <v>1767547.5986655918</v>
      </c>
      <c r="AF40" s="222"/>
      <c r="AG40" s="222">
        <f>$E$40</f>
        <v>1767547.5986655918</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1767547.5986655918</v>
      </c>
      <c r="G43" s="223">
        <f>SUM(G40:G42)</f>
        <v>1767547.5986655918</v>
      </c>
      <c r="I43" s="223">
        <f>SUM(I40:I42)</f>
        <v>1767547.5986655918</v>
      </c>
      <c r="K43" s="223">
        <f>SUM(K40:K42)</f>
        <v>1767547.5986655918</v>
      </c>
      <c r="M43" s="223">
        <f>SUM(M40:M42)</f>
        <v>1767547.5986655918</v>
      </c>
      <c r="O43" s="223">
        <f>SUM(O40:O42)</f>
        <v>1767547.5986655918</v>
      </c>
      <c r="Q43" s="223">
        <f>SUM(Q40:Q42)</f>
        <v>1767547.5986655918</v>
      </c>
      <c r="S43" s="223">
        <f>SUM(S40:S42)</f>
        <v>1767547.5986655918</v>
      </c>
      <c r="U43" s="223">
        <f>SUM(U40:U42)</f>
        <v>1767547.5986655918</v>
      </c>
      <c r="W43" s="223">
        <f>SUM(W40:W42)</f>
        <v>1767547.5986655918</v>
      </c>
      <c r="Y43" s="223">
        <f>SUM(Y40:Y42)</f>
        <v>1767547.5986655918</v>
      </c>
      <c r="AA43" s="223">
        <f>SUM(AA40:AA42)</f>
        <v>1767547.5986655918</v>
      </c>
      <c r="AC43" s="223">
        <f>SUM(AC40:AC42)</f>
        <v>1767547.5986655918</v>
      </c>
      <c r="AE43" s="223">
        <f>SUM(AE40:AE42)</f>
        <v>1767547.5986655918</v>
      </c>
      <c r="AG43" s="223">
        <f>SUM(AG40:AG42)</f>
        <v>1767547.5986655918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226460.90133440821</v>
      </c>
      <c r="G45" s="223">
        <f>G37-G43</f>
        <v>265938.61383440765</v>
      </c>
      <c r="I45" s="223">
        <f>I37-I43</f>
        <v>306005.93414690765</v>
      </c>
      <c r="K45" s="223">
        <f>K37-K43</f>
        <v>346664.01449221978</v>
      </c>
      <c r="M45" s="223">
        <f>M37-M43</f>
        <v>387913.56987953978</v>
      </c>
      <c r="O45" s="223">
        <f>O37-O43</f>
        <v>429754.85115296068</v>
      </c>
      <c r="Q45" s="223">
        <f>Q37-Q43</f>
        <v>472187.61681141658</v>
      </c>
      <c r="S45" s="223">
        <f>S37-S43</f>
        <v>515211.10355282808</v>
      </c>
      <c r="U45" s="223">
        <f>U37-U43</f>
        <v>558823.99549083132</v>
      </c>
      <c r="W45" s="223">
        <f>W37-W43</f>
        <v>603024.39199049538</v>
      </c>
      <c r="Y45" s="223">
        <f>Y37-Y43</f>
        <v>647809.77406736603</v>
      </c>
      <c r="AA45" s="223">
        <f>AA37-AA43</f>
        <v>693176.96929210471</v>
      </c>
      <c r="AC45" s="223">
        <f>AC37-AC43</f>
        <v>739122.11514071422</v>
      </c>
      <c r="AE45" s="223">
        <f>AE37-AE43</f>
        <v>785640.62072815606</v>
      </c>
      <c r="AG45" s="223">
        <f>AG37-AG43</f>
        <v>832727.12686068518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6.2842439799426747E-2</v>
      </c>
      <c r="G47" s="227">
        <f>G45/(G4+G6+G8)</f>
        <v>7.1997487583328454E-2</v>
      </c>
      <c r="I47" s="227">
        <f>I45/(I4+I6+I8)</f>
        <v>8.082429479203887E-2</v>
      </c>
      <c r="K47" s="227">
        <f>K45/(K4+K6+K8)</f>
        <v>8.9329925559658074E-2</v>
      </c>
      <c r="M47" s="227">
        <f>M45/(M4+M6+M8)</f>
        <v>9.752126293735594E-2</v>
      </c>
      <c r="O47" s="227">
        <f>O45/(O4+O6+O8)</f>
        <v>0.10540501322625637</v>
      </c>
      <c r="Q47" s="227">
        <f>Q45/(Q4+Q6+Q8)</f>
        <v>0.11298771020383455</v>
      </c>
      <c r="S47" s="227">
        <f>S45/(S4+S6+S8)</f>
        <v>0.12027571924641484</v>
      </c>
      <c r="U47" s="227">
        <f>U45/(U4+U6+U8)</f>
        <v>0.127275241350297</v>
      </c>
      <c r="W47" s="227">
        <f>W45/(W4+W6+W8)</f>
        <v>0.13399231705397574</v>
      </c>
      <c r="Y47" s="227">
        <f>Y45/(Y4+Y6+Y8)</f>
        <v>0.14043283026385364</v>
      </c>
      <c r="AA47" s="227">
        <f>AA45/(AA4+AA6+AA8)</f>
        <v>0.14660251198580071</v>
      </c>
      <c r="AC47" s="227">
        <f>AC45/(AC4+AC6+AC8)</f>
        <v>0.15250694396483944</v>
      </c>
      <c r="AE47" s="227">
        <f>AE45/(AE4+AE6+AE8)</f>
        <v>0.15815156223519872</v>
      </c>
      <c r="AG47" s="227">
        <f>AG45/(AG4+AG6+AG8)</f>
        <v>0.16354166058290165</v>
      </c>
    </row>
    <row r="48" spans="1:33" s="227" customFormat="1" ht="14.25">
      <c r="A48" s="227" t="s">
        <v>852</v>
      </c>
      <c r="C48" s="220"/>
      <c r="E48" s="227">
        <f>E45/E43</f>
        <v>0.12812152923371037</v>
      </c>
      <c r="G48" s="227">
        <f>G45/G43</f>
        <v>0.15045626722311622</v>
      </c>
      <c r="I48" s="227">
        <f>I45/I43</f>
        <v>0.17312457915018895</v>
      </c>
      <c r="K48" s="227">
        <f>K45/K43</f>
        <v>0.19612711689005344</v>
      </c>
      <c r="M48" s="227">
        <f>M45/M43</f>
        <v>0.21946428496318557</v>
      </c>
      <c r="O48" s="227">
        <f>O45/O43</f>
        <v>0.24313622528604245</v>
      </c>
      <c r="Q48" s="227">
        <f>Q45/Q43</f>
        <v>0.26714280122803713</v>
      </c>
      <c r="S48" s="227">
        <f>S45/S43</f>
        <v>0.29148358094672311</v>
      </c>
      <c r="U48" s="227">
        <f>U45/U43</f>
        <v>0.31615781997198544</v>
      </c>
      <c r="W48" s="227">
        <f>W45/W43</f>
        <v>0.34116444300891702</v>
      </c>
      <c r="Y48" s="227">
        <f>Y45/Y43</f>
        <v>0.36650202492788841</v>
      </c>
      <c r="AA48" s="227">
        <f>AA45/AA43</f>
        <v>0.39216877090915003</v>
      </c>
      <c r="AC48" s="227">
        <f>AC45/AC43</f>
        <v>0.41816249570801584</v>
      </c>
      <c r="AE48" s="227">
        <f>AE45/AE43</f>
        <v>0.44448060200544226</v>
      </c>
      <c r="AG48" s="227">
        <f>AG45/AG43</f>
        <v>0.47112005780741162</v>
      </c>
    </row>
    <row r="49" spans="1:34" s="228" customFormat="1" ht="14.25">
      <c r="A49" s="228" t="s">
        <v>850</v>
      </c>
      <c r="C49" s="229"/>
      <c r="E49" s="228">
        <f>E37/E43</f>
        <v>1.1281215292337103</v>
      </c>
      <c r="G49" s="228">
        <f>G37/G43</f>
        <v>1.1504562672231162</v>
      </c>
      <c r="I49" s="228">
        <f>I37/I43</f>
        <v>1.173124579150189</v>
      </c>
      <c r="K49" s="228">
        <f>K37/K43</f>
        <v>1.1961271168900534</v>
      </c>
      <c r="M49" s="228">
        <f>M37/M43</f>
        <v>1.2194642849631856</v>
      </c>
      <c r="O49" s="228">
        <f>O37/O43</f>
        <v>1.2431362252860425</v>
      </c>
      <c r="Q49" s="228">
        <f>Q37/Q43</f>
        <v>1.2671428012280372</v>
      </c>
      <c r="S49" s="228">
        <f>S37/S43</f>
        <v>1.2914835809467231</v>
      </c>
      <c r="U49" s="228">
        <f>U37/U43</f>
        <v>1.3161578199719854</v>
      </c>
      <c r="W49" s="228">
        <f>W37/W43</f>
        <v>1.3411644430089169</v>
      </c>
      <c r="Y49" s="228">
        <f>Y37/Y43</f>
        <v>1.3665020249278883</v>
      </c>
      <c r="AA49" s="228">
        <f>AA37/AA43</f>
        <v>1.3921687709091499</v>
      </c>
      <c r="AC49" s="228">
        <f>AC37/AC43</f>
        <v>1.4181624957080159</v>
      </c>
      <c r="AE49" s="228">
        <f>AE37/AE43</f>
        <v>1.4444806020054421</v>
      </c>
      <c r="AG49" s="228">
        <f>AG37/AG43</f>
        <v>1.4711200578074115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8" t="s">
        <v>2736</v>
      </c>
      <c r="B52" s="2688"/>
      <c r="C52" s="2688"/>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v>
      </c>
      <c r="E53" s="960">
        <v>35000</v>
      </c>
      <c r="G53" s="956">
        <f>E53*$C$53</f>
        <v>36050</v>
      </c>
      <c r="I53" s="956">
        <f>G53*$C$53</f>
        <v>37131.5</v>
      </c>
      <c r="K53" s="956">
        <f>I53*$C$53</f>
        <v>38245.445</v>
      </c>
      <c r="M53" s="956">
        <f>K53*$C$53</f>
        <v>39392.808349999999</v>
      </c>
      <c r="O53" s="956">
        <f>M53*$C$53</f>
        <v>40574.5926005</v>
      </c>
      <c r="Q53" s="956">
        <f>O53*$C$53</f>
        <v>41791.830378514998</v>
      </c>
      <c r="S53" s="956">
        <f>Q53*$C$53</f>
        <v>43045.585289870447</v>
      </c>
      <c r="U53" s="956">
        <f>S53*$C$53</f>
        <v>44336.952848566565</v>
      </c>
      <c r="W53" s="956">
        <f>U53*$C$53</f>
        <v>45667.061434023562</v>
      </c>
      <c r="Y53" s="956">
        <f>W53*$C$53</f>
        <v>47037.07327704427</v>
      </c>
      <c r="AA53" s="956">
        <f>Y53*$C$53</f>
        <v>48448.185475355596</v>
      </c>
      <c r="AC53" s="956">
        <f>AA53*$C$53</f>
        <v>49901.631039616266</v>
      </c>
      <c r="AE53" s="956">
        <f>AC53*$C$53</f>
        <v>51398.679970804755</v>
      </c>
      <c r="AG53" s="956">
        <f>AE53*$C$53</f>
        <v>52940.6403699289</v>
      </c>
    </row>
    <row r="54" spans="1:34" s="3" customFormat="1">
      <c r="A54" s="3" t="s">
        <v>855</v>
      </c>
      <c r="C54" s="954"/>
      <c r="E54" s="961">
        <v>10000</v>
      </c>
      <c r="F54" s="956"/>
      <c r="G54" s="956">
        <f t="shared" ref="G54:AG57" si="1">E54*$C$53</f>
        <v>10300</v>
      </c>
      <c r="H54" s="956"/>
      <c r="I54" s="956">
        <f t="shared" si="1"/>
        <v>10609</v>
      </c>
      <c r="J54" s="956"/>
      <c r="K54" s="956">
        <f t="shared" si="1"/>
        <v>10927.27</v>
      </c>
      <c r="L54" s="956"/>
      <c r="M54" s="956">
        <f t="shared" si="1"/>
        <v>11255.088100000001</v>
      </c>
      <c r="N54" s="956"/>
      <c r="O54" s="956">
        <f t="shared" si="1"/>
        <v>11592.740743</v>
      </c>
      <c r="P54" s="956"/>
      <c r="Q54" s="956">
        <f t="shared" si="1"/>
        <v>11940.52296529</v>
      </c>
      <c r="R54" s="956"/>
      <c r="S54" s="956">
        <f t="shared" si="1"/>
        <v>12298.7386542487</v>
      </c>
      <c r="T54" s="956"/>
      <c r="U54" s="956">
        <f t="shared" si="1"/>
        <v>12667.700813876161</v>
      </c>
      <c r="V54" s="956"/>
      <c r="W54" s="956">
        <f t="shared" si="1"/>
        <v>13047.731838292446</v>
      </c>
      <c r="X54" s="956"/>
      <c r="Y54" s="956">
        <f t="shared" si="1"/>
        <v>13439.163793441219</v>
      </c>
      <c r="Z54" s="956"/>
      <c r="AA54" s="956">
        <f t="shared" si="1"/>
        <v>13842.338707244457</v>
      </c>
      <c r="AB54" s="956"/>
      <c r="AC54" s="956">
        <f t="shared" si="1"/>
        <v>14257.60886846179</v>
      </c>
      <c r="AD54" s="956"/>
      <c r="AE54" s="956">
        <f t="shared" si="1"/>
        <v>14685.337134515645</v>
      </c>
      <c r="AF54" s="956"/>
      <c r="AG54" s="956">
        <f t="shared" si="1"/>
        <v>15125.897248551115</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t="s">
        <v>2741</v>
      </c>
      <c r="B56" s="962"/>
      <c r="C56" s="954"/>
      <c r="E56" s="961">
        <v>10000</v>
      </c>
      <c r="F56" s="956"/>
      <c r="G56" s="956">
        <f t="shared" si="1"/>
        <v>10300</v>
      </c>
      <c r="H56" s="956"/>
      <c r="I56" s="956">
        <f t="shared" si="1"/>
        <v>10609</v>
      </c>
      <c r="J56" s="956"/>
      <c r="K56" s="956">
        <f t="shared" si="1"/>
        <v>10927.27</v>
      </c>
      <c r="L56" s="956"/>
      <c r="M56" s="956">
        <f t="shared" si="1"/>
        <v>11255.088100000001</v>
      </c>
      <c r="N56" s="956"/>
      <c r="O56" s="956">
        <f t="shared" si="1"/>
        <v>11592.740743</v>
      </c>
      <c r="P56" s="956"/>
      <c r="Q56" s="956">
        <f t="shared" si="1"/>
        <v>11940.52296529</v>
      </c>
      <c r="R56" s="956"/>
      <c r="S56" s="956">
        <f t="shared" si="1"/>
        <v>12298.7386542487</v>
      </c>
      <c r="T56" s="956"/>
      <c r="U56" s="956">
        <f t="shared" si="1"/>
        <v>12667.700813876161</v>
      </c>
      <c r="V56" s="956"/>
      <c r="W56" s="956">
        <f t="shared" si="1"/>
        <v>13047.731838292446</v>
      </c>
      <c r="X56" s="956"/>
      <c r="Y56" s="956">
        <f t="shared" si="1"/>
        <v>13439.163793441219</v>
      </c>
      <c r="Z56" s="956"/>
      <c r="AA56" s="956">
        <f t="shared" si="1"/>
        <v>13842.338707244457</v>
      </c>
      <c r="AB56" s="956"/>
      <c r="AC56" s="956">
        <f t="shared" si="1"/>
        <v>14257.60886846179</v>
      </c>
      <c r="AD56" s="956"/>
      <c r="AE56" s="956">
        <f t="shared" si="1"/>
        <v>14685.337134515645</v>
      </c>
      <c r="AF56" s="956"/>
      <c r="AG56" s="956">
        <f t="shared" si="1"/>
        <v>15125.897248551115</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55000</v>
      </c>
      <c r="F58" s="956"/>
      <c r="G58" s="956">
        <f>SUM(G53:G57)</f>
        <v>56650</v>
      </c>
      <c r="H58" s="956"/>
      <c r="I58" s="956">
        <f>SUM(I53:I57)</f>
        <v>58349.5</v>
      </c>
      <c r="J58" s="956"/>
      <c r="K58" s="956">
        <f>SUM(K53:K57)</f>
        <v>60099.985000000001</v>
      </c>
      <c r="L58" s="956"/>
      <c r="M58" s="956">
        <f>SUM(M53:M57)</f>
        <v>61902.984550000001</v>
      </c>
      <c r="N58" s="956"/>
      <c r="O58" s="956">
        <f>SUM(O53:O57)</f>
        <v>63760.074086500004</v>
      </c>
      <c r="P58" s="956"/>
      <c r="Q58" s="956">
        <f>SUM(Q53:Q57)</f>
        <v>65672.876309094994</v>
      </c>
      <c r="R58" s="956"/>
      <c r="S58" s="956">
        <f>SUM(S53:S57)</f>
        <v>67643.062598367847</v>
      </c>
      <c r="T58" s="956"/>
      <c r="U58" s="956">
        <f>SUM(U53:U57)</f>
        <v>69672.354476318884</v>
      </c>
      <c r="V58" s="956"/>
      <c r="W58" s="956">
        <f>SUM(W53:W57)</f>
        <v>71762.525110608447</v>
      </c>
      <c r="X58" s="956"/>
      <c r="Y58" s="956">
        <f>SUM(Y53:Y57)</f>
        <v>73915.400863926712</v>
      </c>
      <c r="Z58" s="956"/>
      <c r="AA58" s="956">
        <f>SUM(AA53:AA57)</f>
        <v>76132.862889844517</v>
      </c>
      <c r="AB58" s="956"/>
      <c r="AC58" s="956">
        <f>SUM(AC53:AC57)</f>
        <v>78416.848776539846</v>
      </c>
      <c r="AD58" s="956"/>
      <c r="AE58" s="956">
        <f>SUM(AE53:AE57)</f>
        <v>80769.354239836044</v>
      </c>
      <c r="AF58" s="956"/>
      <c r="AG58" s="956">
        <f>SUM(AG53:AG57)</f>
        <v>83192.43486703113</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171460.90133440821</v>
      </c>
      <c r="G60" s="958">
        <f>G45-G58</f>
        <v>209288.61383440765</v>
      </c>
      <c r="I60" s="958">
        <f>I45-I58</f>
        <v>247656.43414690765</v>
      </c>
      <c r="K60" s="958">
        <f>K45-K58</f>
        <v>286564.02949221979</v>
      </c>
      <c r="M60" s="958">
        <f>M45-M58</f>
        <v>326010.58532953978</v>
      </c>
      <c r="O60" s="958">
        <f>O45-O58</f>
        <v>365994.77706646069</v>
      </c>
      <c r="Q60" s="958">
        <f>Q45-Q58</f>
        <v>406514.74050232157</v>
      </c>
      <c r="S60" s="958">
        <f>S45-S58</f>
        <v>447568.04095446022</v>
      </c>
      <c r="U60" s="958">
        <f>U45-U58</f>
        <v>489151.64101451245</v>
      </c>
      <c r="W60" s="958">
        <f>W45-W58</f>
        <v>531261.86687988695</v>
      </c>
      <c r="Y60" s="958">
        <f>Y45-Y58</f>
        <v>573894.37320343929</v>
      </c>
      <c r="AA60" s="958">
        <f>AA45-AA58</f>
        <v>617044.10640226025</v>
      </c>
      <c r="AC60" s="958">
        <f>AC45-AC58</f>
        <v>660705.26636417443</v>
      </c>
      <c r="AE60" s="958">
        <f>AE45-AE58</f>
        <v>704871.26648831996</v>
      </c>
      <c r="AG60" s="958">
        <f>AG45-AG58</f>
        <v>749534.69199365401</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171460.90133440821</v>
      </c>
      <c r="G62" s="958">
        <f>MIN(G60*$C$62,'Sources and Uses Budget'!$G$99-SUM('15 Year Pro Forma'!$E$62:F$62))</f>
        <v>209288.61383440765</v>
      </c>
      <c r="I62" s="958">
        <f>MIN(I60*$C$62,'Sources and Uses Budget'!$G$99-SUM('15 Year Pro Forma'!$E$62:H$62))</f>
        <v>247656.43414690765</v>
      </c>
      <c r="K62" s="958">
        <f>MIN(K60*$C$62,'Sources and Uses Budget'!$G$99-SUM('15 Year Pro Forma'!$E$62:J$62))</f>
        <v>286564.02949221979</v>
      </c>
      <c r="M62" s="958">
        <f>MIN(M60*$C$62,'Sources and Uses Budget'!$G$99-SUM('15 Year Pro Forma'!$E$62:L$62))</f>
        <v>326010.58532953978</v>
      </c>
      <c r="O62" s="958">
        <f>MIN(O60*$C$62,'Sources and Uses Budget'!$G$99-SUM('15 Year Pro Forma'!$E$62:N$62))</f>
        <v>365994.77706646069</v>
      </c>
      <c r="Q62" s="958">
        <f>MIN(Q60*$C$62,'Sources and Uses Budget'!$G$99-SUM('15 Year Pro Forma'!$E$62:P$62))</f>
        <v>406514.74050232157</v>
      </c>
      <c r="S62" s="958">
        <f>MIN(S60*$C$62,'Sources and Uses Budget'!$G$99-SUM('15 Year Pro Forma'!$E$62:R$62))</f>
        <v>447568.04095446022</v>
      </c>
      <c r="U62" s="958">
        <f>MIN(U60*$C$62,'Sources and Uses Budget'!$G$99-SUM('15 Year Pro Forma'!$E$62:T$62))</f>
        <v>489151.64101451245</v>
      </c>
      <c r="W62" s="958">
        <f>MIN(W60*$C$62,'Sources and Uses Budget'!$G$99-SUM('15 Year Pro Forma'!$E$62:V$62))</f>
        <v>531261.86687988695</v>
      </c>
      <c r="Y62" s="958">
        <f>MIN(Y60*$C$62,'Sources and Uses Budget'!$G$99-SUM('15 Year Pro Forma'!$E$62:X$62))</f>
        <v>573894.37320343929</v>
      </c>
      <c r="AA62" s="958">
        <f>MIN(AA60*$C$62,'Sources and Uses Budget'!$G$99-SUM('15 Year Pro Forma'!$E$62:Z$62))</f>
        <v>617044.10640226025</v>
      </c>
      <c r="AC62" s="958">
        <f>MIN(AC60*$C$62,'Sources and Uses Budget'!$G$99-SUM('15 Year Pro Forma'!$E$62:AB$62))</f>
        <v>660705.26636417443</v>
      </c>
      <c r="AE62" s="958">
        <f>MIN(AE60*$C$62,'Sources and Uses Budget'!$G$99-SUM('15 Year Pro Forma'!$E$62:AD$62))</f>
        <v>704871.26648831996</v>
      </c>
      <c r="AG62" s="958">
        <f>MIN(AG60*$C$62,'Sources and Uses Budget'!$G$99-SUM('15 Year Pro Forma'!$E$62:AF$62))</f>
        <v>342000.35698668007</v>
      </c>
    </row>
    <row r="63" spans="1:34" s="958" customFormat="1">
      <c r="A63" s="2688" t="s">
        <v>2736</v>
      </c>
      <c r="B63" s="2688"/>
      <c r="C63" s="2688"/>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407534.33500697394</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6" t="s">
        <v>1709</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902</v>
      </c>
      <c r="B14" s="266">
        <f>'Sources and Uses Budget'!$C13</f>
        <v>900000</v>
      </c>
      <c r="C14" s="266">
        <f>'Sources and Uses Budget'!$C13</f>
        <v>900000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13372</v>
      </c>
      <c r="C30" s="266">
        <f>'Sources and Uses Budget'!$C29</f>
        <v>13372</v>
      </c>
      <c r="D30" s="270">
        <f t="shared" si="0"/>
        <v>0</v>
      </c>
      <c r="E30" s="268"/>
      <c r="F30" s="267"/>
    </row>
    <row r="31" spans="1:6" s="352" customFormat="1">
      <c r="A31" s="145" t="s">
        <v>599</v>
      </c>
      <c r="B31" s="266">
        <f>'Sources and Uses Budget'!$C30</f>
        <v>30758000</v>
      </c>
      <c r="C31" s="266">
        <f>'Sources and Uses Budget'!$C30</f>
        <v>30758000</v>
      </c>
      <c r="D31" s="270">
        <f t="shared" si="0"/>
        <v>0</v>
      </c>
      <c r="E31" s="268"/>
      <c r="F31" s="267"/>
    </row>
    <row r="32" spans="1:6" s="352" customFormat="1">
      <c r="A32" s="145" t="s">
        <v>600</v>
      </c>
      <c r="B32" s="266">
        <f>'Sources and Uses Budget'!$C31</f>
        <v>1539069</v>
      </c>
      <c r="C32" s="266">
        <f>'Sources and Uses Budget'!$C31</f>
        <v>1539069</v>
      </c>
      <c r="D32" s="270">
        <f t="shared" si="0"/>
        <v>0</v>
      </c>
      <c r="E32" s="268"/>
      <c r="F32" s="267"/>
    </row>
    <row r="33" spans="1:6" s="352" customFormat="1">
      <c r="A33" s="145" t="s">
        <v>137</v>
      </c>
      <c r="B33" s="266">
        <f>'Sources and Uses Budget'!$C32</f>
        <v>646209</v>
      </c>
      <c r="C33" s="266">
        <f>'Sources and Uses Budget'!$C32</f>
        <v>646209</v>
      </c>
      <c r="D33" s="270">
        <f t="shared" si="0"/>
        <v>0</v>
      </c>
      <c r="E33" s="268"/>
      <c r="F33" s="267"/>
    </row>
    <row r="34" spans="1:6" s="352" customFormat="1">
      <c r="A34" s="145" t="s">
        <v>138</v>
      </c>
      <c r="B34" s="266">
        <f>'Sources and Uses Budget'!$C33</f>
        <v>2261186</v>
      </c>
      <c r="C34" s="266">
        <f>'Sources and Uses Budget'!$C33</f>
        <v>2261186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918893</v>
      </c>
      <c r="C36" s="266">
        <f>'Sources and Uses Budget'!$C35</f>
        <v>918893</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36136729</v>
      </c>
      <c r="C39" s="270">
        <f>SUM(C30:C38)</f>
        <v>36136729</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850049</v>
      </c>
      <c r="C41" s="266">
        <f>'Sources and Uses Budget'!$C40</f>
        <v>850049</v>
      </c>
      <c r="D41" s="270">
        <f t="shared" si="0"/>
        <v>0</v>
      </c>
      <c r="E41" s="268"/>
      <c r="F41" s="267"/>
    </row>
    <row r="42" spans="1:6" s="352" customFormat="1">
      <c r="A42" s="269" t="s">
        <v>146</v>
      </c>
      <c r="B42" s="266">
        <f>'Sources and Uses Budget'!$C41</f>
        <v>105000</v>
      </c>
      <c r="C42" s="266">
        <f>'Sources and Uses Budget'!$C41</f>
        <v>105000</v>
      </c>
      <c r="D42" s="270">
        <f t="shared" si="0"/>
        <v>0</v>
      </c>
      <c r="E42" s="268"/>
      <c r="F42" s="267"/>
    </row>
    <row r="43" spans="1:6" s="352" customFormat="1">
      <c r="A43" s="271" t="s">
        <v>147</v>
      </c>
      <c r="B43" s="270">
        <f>SUM(B41:B42)</f>
        <v>955049</v>
      </c>
      <c r="C43" s="270">
        <f>SUM(C41:C42)</f>
        <v>955049</v>
      </c>
      <c r="D43" s="270">
        <f t="shared" si="0"/>
        <v>0</v>
      </c>
      <c r="E43" s="268"/>
      <c r="F43" s="267"/>
    </row>
    <row r="44" spans="1:6" s="352" customFormat="1">
      <c r="A44" s="271" t="s">
        <v>148</v>
      </c>
      <c r="B44" s="266">
        <f>'Sources and Uses Budget'!$C43</f>
        <v>983306</v>
      </c>
      <c r="C44" s="266">
        <f>'Sources and Uses Budget'!$C43</f>
        <v>983306</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3095188</v>
      </c>
      <c r="C46" s="266">
        <f>'Sources and Uses Budget'!$C45</f>
        <v>3095188</v>
      </c>
      <c r="D46" s="270">
        <f t="shared" si="0"/>
        <v>0</v>
      </c>
      <c r="E46" s="268"/>
      <c r="F46" s="267"/>
    </row>
    <row r="47" spans="1:6" s="352" customFormat="1">
      <c r="A47" s="145" t="s">
        <v>151</v>
      </c>
      <c r="B47" s="266">
        <f>'Sources and Uses Budget'!$C46</f>
        <v>425127</v>
      </c>
      <c r="C47" s="266">
        <f>'Sources and Uses Budget'!$C46</f>
        <v>425127</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840000</v>
      </c>
      <c r="C50" s="266">
        <f>'Sources and Uses Budget'!$C49</f>
        <v>840000</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4435315</v>
      </c>
      <c r="C55" s="273">
        <f>SUM(C46:C54)</f>
        <v>4435315</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271133</v>
      </c>
      <c r="C57" s="266">
        <f>'Sources and Uses Budget'!$C56</f>
        <v>271133</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75000</v>
      </c>
      <c r="C59" s="266">
        <f>'Sources and Uses Budget'!$C58</f>
        <v>75000</v>
      </c>
      <c r="D59" s="270">
        <f t="shared" si="0"/>
        <v>0</v>
      </c>
      <c r="E59" s="268"/>
      <c r="F59" s="267"/>
    </row>
    <row r="60" spans="1:6" s="352" customFormat="1">
      <c r="A60" s="269" t="s">
        <v>154</v>
      </c>
      <c r="B60" s="266">
        <f>'Sources and Uses Budget'!$C59</f>
        <v>437896</v>
      </c>
      <c r="C60" s="266">
        <f>'Sources and Uses Budget'!$C59</f>
        <v>437896</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784029</v>
      </c>
      <c r="C63" s="270">
        <f>SUM(C57:C62)</f>
        <v>784029</v>
      </c>
      <c r="D63" s="270">
        <f t="shared" si="0"/>
        <v>0</v>
      </c>
      <c r="E63" s="268"/>
      <c r="F63" s="267"/>
    </row>
    <row r="64" spans="1:6" s="352" customFormat="1">
      <c r="A64" s="274" t="s">
        <v>302</v>
      </c>
      <c r="B64" s="270">
        <f>SUM(B9+B12+B14+B15+B17+B26+B28+B39+B43+B44+B55+B63)</f>
        <v>44194428</v>
      </c>
      <c r="C64" s="270">
        <f>SUM(C9+C12+C14+C15+C17+C26+C28+C39+C43+C44+C55+C63)</f>
        <v>44194428</v>
      </c>
      <c r="D64" s="270">
        <f t="shared" si="0"/>
        <v>0</v>
      </c>
      <c r="E64" s="268"/>
      <c r="F64" s="267"/>
    </row>
    <row r="65" spans="1:6" s="352" customFormat="1" ht="24">
      <c r="A65" s="141" t="s">
        <v>1632</v>
      </c>
      <c r="B65" s="264"/>
      <c r="C65" s="264"/>
      <c r="D65" s="264"/>
      <c r="E65" s="282"/>
      <c r="F65" s="264"/>
    </row>
    <row r="66" spans="1:6" s="352" customFormat="1">
      <c r="A66" s="145" t="s">
        <v>171</v>
      </c>
      <c r="B66" s="266">
        <f>'Sources and Uses Budget'!$C65</f>
        <v>471431</v>
      </c>
      <c r="C66" s="266">
        <f>'Sources and Uses Budget'!$C65</f>
        <v>471431</v>
      </c>
      <c r="D66" s="270">
        <f t="shared" si="0"/>
        <v>0</v>
      </c>
      <c r="E66" s="268"/>
      <c r="F66" s="267"/>
    </row>
    <row r="67" spans="1:6" s="352" customFormat="1" ht="24">
      <c r="A67" s="283" t="s">
        <v>1629</v>
      </c>
      <c r="B67" s="266">
        <f>'Sources and Uses Budget'!$C66</f>
        <v>550000</v>
      </c>
      <c r="C67" s="266">
        <f>'Sources and Uses Budget'!$C66</f>
        <v>550000</v>
      </c>
      <c r="D67" s="270"/>
      <c r="E67" s="268"/>
      <c r="F67" s="267"/>
    </row>
    <row r="68" spans="1:6" s="352" customFormat="1" ht="24">
      <c r="A68" s="283" t="s">
        <v>1630</v>
      </c>
      <c r="B68" s="266">
        <f>'Sources and Uses Budget'!$C67</f>
        <v>67422</v>
      </c>
      <c r="C68" s="266">
        <f>'Sources and Uses Budget'!$C67</f>
        <v>67422</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1633</v>
      </c>
      <c r="B71" s="270">
        <f>SUM(B66:B70)</f>
        <v>1088853</v>
      </c>
      <c r="C71" s="270">
        <f>SUM(C66:C70)</f>
        <v>1088853</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799247</v>
      </c>
      <c r="C76" s="266">
        <f>'Sources and Uses Budget'!$C75</f>
        <v>799247</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799247</v>
      </c>
      <c r="C78" s="270">
        <f>SUM(C73:C77)</f>
        <v>799247</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1537900</v>
      </c>
      <c r="C80" s="266">
        <f>'Sources and Uses Budget'!$C79</f>
        <v>1537900</v>
      </c>
      <c r="D80" s="270">
        <f t="shared" si="1"/>
        <v>0</v>
      </c>
      <c r="E80" s="268"/>
      <c r="F80" s="267"/>
    </row>
    <row r="81" spans="1:6" s="352" customFormat="1">
      <c r="A81" s="510" t="s">
        <v>58</v>
      </c>
      <c r="B81" s="266">
        <f>'Sources and Uses Budget'!$C80</f>
        <v>475000</v>
      </c>
      <c r="C81" s="266">
        <f>'Sources and Uses Budget'!$C80</f>
        <v>475000</v>
      </c>
      <c r="D81" s="270">
        <f>C81-B81</f>
        <v>0</v>
      </c>
      <c r="E81" s="268"/>
      <c r="F81" s="267"/>
    </row>
    <row r="82" spans="1:6" s="352" customFormat="1">
      <c r="A82" s="271" t="s">
        <v>1208</v>
      </c>
      <c r="B82" s="270">
        <f>SUM(B80:B81)</f>
        <v>2012900</v>
      </c>
      <c r="C82" s="270">
        <f>SUM(C80:C81)</f>
        <v>2012900</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206534</v>
      </c>
      <c r="C84" s="266">
        <f>'Sources and Uses Budget'!$C83</f>
        <v>206534</v>
      </c>
      <c r="D84" s="270">
        <f t="shared" si="1"/>
        <v>0</v>
      </c>
      <c r="E84" s="268"/>
      <c r="F84" s="267"/>
    </row>
    <row r="85" spans="1:6" s="352" customFormat="1">
      <c r="A85" s="269" t="s">
        <v>767</v>
      </c>
      <c r="B85" s="266">
        <f>'Sources and Uses Budget'!$C84</f>
        <v>47428</v>
      </c>
      <c r="C85" s="266">
        <f>'Sources and Uses Budget'!$C84</f>
        <v>47428</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1700566</v>
      </c>
      <c r="C87" s="266">
        <f>'Sources and Uses Budget'!$C86</f>
        <v>1700566</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50000</v>
      </c>
      <c r="C89" s="266">
        <f>'Sources and Uses Budget'!$C88</f>
        <v>50000</v>
      </c>
      <c r="D89" s="270">
        <f t="shared" si="1"/>
        <v>0</v>
      </c>
      <c r="E89" s="268"/>
      <c r="F89" s="267"/>
    </row>
    <row r="90" spans="1:6" s="352" customFormat="1">
      <c r="A90" s="269" t="s">
        <v>772</v>
      </c>
      <c r="B90" s="266">
        <f>'Sources and Uses Budget'!$C89</f>
        <v>250000</v>
      </c>
      <c r="C90" s="266">
        <f>'Sources and Uses Budget'!$C89</f>
        <v>250000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155853</v>
      </c>
      <c r="C92" s="266">
        <f>'Sources and Uses Budget'!$C91</f>
        <v>155853</v>
      </c>
      <c r="D92" s="270">
        <f t="shared" si="1"/>
        <v>0</v>
      </c>
      <c r="E92" s="268"/>
      <c r="F92" s="267"/>
    </row>
    <row r="93" spans="1:6" s="352" customFormat="1">
      <c r="A93" s="510" t="s">
        <v>1210</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2430381</v>
      </c>
      <c r="C97" s="270">
        <f>SUM(C84:C96)</f>
        <v>2430381</v>
      </c>
      <c r="D97" s="270">
        <f t="shared" si="1"/>
        <v>0</v>
      </c>
      <c r="E97" s="268"/>
      <c r="F97" s="267"/>
    </row>
    <row r="98" spans="1:6" s="352" customFormat="1">
      <c r="A98" s="271" t="s">
        <v>775</v>
      </c>
      <c r="B98" s="270">
        <f>SUM(B64+B71+B78+B82+B97)</f>
        <v>50525809</v>
      </c>
      <c r="C98" s="270">
        <f>SUM(C64+C71+C78+C82+C97)</f>
        <v>50525809</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6737938</v>
      </c>
      <c r="C100" s="266">
        <f>'Sources and Uses Budget'!$C99</f>
        <v>6737938</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6737938</v>
      </c>
      <c r="C105" s="270">
        <f>SUM(C100:C104)</f>
        <v>6737938</v>
      </c>
      <c r="D105" s="270">
        <f t="shared" si="1"/>
        <v>0</v>
      </c>
      <c r="E105" s="268"/>
      <c r="F105" s="267"/>
    </row>
    <row r="106" spans="1:6" s="352" customFormat="1">
      <c r="A106" s="271" t="s">
        <v>780</v>
      </c>
      <c r="B106" s="273">
        <f>SUM(B98+B105)</f>
        <v>57263747</v>
      </c>
      <c r="C106" s="273">
        <f>SUM(C98+C105)</f>
        <v>57263747</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1842</v>
      </c>
      <c r="B1" s="1281"/>
      <c r="C1" s="1281"/>
      <c r="D1" s="1281"/>
      <c r="E1" s="1281"/>
      <c r="F1" s="1281"/>
      <c r="G1" s="1281"/>
      <c r="H1" s="1281"/>
      <c r="I1" s="1281"/>
      <c r="J1" s="1281"/>
    </row>
    <row r="2" spans="1:10" ht="15">
      <c r="A2" s="1284" t="s">
        <v>1267</v>
      </c>
      <c r="B2" s="1285"/>
      <c r="C2" s="1285"/>
      <c r="D2" s="1285"/>
      <c r="E2" s="1285"/>
      <c r="F2" s="1285"/>
      <c r="G2" s="1285"/>
      <c r="H2" s="1285"/>
      <c r="I2" s="1285"/>
      <c r="J2" s="1285"/>
    </row>
    <row r="3" spans="1:10" ht="12.75"/>
    <row r="4" spans="1:10" ht="12.75" customHeight="1">
      <c r="A4" s="1282" t="s">
        <v>2006</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86" t="s">
        <v>1847</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1188</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1189</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283" t="s">
        <v>1843</v>
      </c>
      <c r="B89" s="1283"/>
      <c r="C89" s="1283"/>
      <c r="D89" s="1283"/>
      <c r="E89" s="1283"/>
      <c r="F89" s="1283"/>
      <c r="G89" s="1283"/>
      <c r="H89" s="1283"/>
      <c r="I89" s="1283"/>
    </row>
    <row r="90" spans="1:9" ht="12.75">
      <c r="A90" s="1273" t="s">
        <v>2004</v>
      </c>
      <c r="B90" s="1273"/>
      <c r="C90" s="1273"/>
      <c r="D90" s="1273"/>
      <c r="E90" s="1273"/>
    </row>
    <row r="91" spans="1:9" ht="12.75">
      <c r="A91" s="1273" t="s">
        <v>2005</v>
      </c>
      <c r="B91" s="1273"/>
      <c r="C91" s="1273"/>
      <c r="D91" s="1273"/>
      <c r="E91" s="1273"/>
    </row>
    <row r="92" spans="1:9" ht="12.75">
      <c r="A92" s="1273" t="s">
        <v>1844</v>
      </c>
      <c r="B92" s="1273"/>
      <c r="C92" s="1273"/>
      <c r="D92" s="1273"/>
      <c r="E92" s="127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02" zoomScale="85" zoomScaleNormal="85" workbookViewId="0">
      <selection activeCell="D1159" sqref="D1159"/>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88" t="s">
        <v>2606</v>
      </c>
      <c r="B2" s="1288"/>
      <c r="C2" s="1288"/>
      <c r="D2" s="1288"/>
      <c r="E2" s="1288"/>
      <c r="F2" s="1288"/>
      <c r="G2" s="1288"/>
      <c r="H2" s="1288"/>
      <c r="I2" s="1288"/>
    </row>
    <row r="3" spans="1:13">
      <c r="A3" s="1289" t="s">
        <v>2173</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2172</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1100</v>
      </c>
      <c r="B9" s="1293"/>
      <c r="C9" s="1293"/>
      <c r="D9" s="1293"/>
      <c r="E9" s="1293"/>
      <c r="F9" s="1293"/>
      <c r="G9" s="1293"/>
      <c r="H9" s="1023"/>
      <c r="I9" s="1024"/>
    </row>
    <row r="10" spans="1:13">
      <c r="A10" s="482"/>
      <c r="B10" s="482"/>
      <c r="E10" s="404"/>
    </row>
    <row r="11" spans="1:13" ht="13.7" customHeight="1">
      <c r="C11" s="482"/>
      <c r="D11" s="1310" t="s">
        <v>1099</v>
      </c>
      <c r="E11" s="1310"/>
      <c r="F11" s="1310"/>
    </row>
    <row r="12" spans="1:13">
      <c r="C12" s="482"/>
      <c r="D12" s="1310"/>
      <c r="E12" s="1310"/>
      <c r="F12" s="1310"/>
    </row>
    <row r="13" spans="1:13">
      <c r="A13" s="483"/>
      <c r="B13" s="483"/>
      <c r="C13" s="483"/>
      <c r="D13" s="1291" t="s">
        <v>1089</v>
      </c>
      <c r="E13" s="1291"/>
      <c r="F13" s="1291"/>
      <c r="M13" s="96"/>
    </row>
    <row r="14" spans="1:13">
      <c r="A14" s="483"/>
      <c r="B14" s="483"/>
      <c r="C14" s="483"/>
      <c r="D14" s="476"/>
      <c r="L14" s="312"/>
    </row>
    <row r="15" spans="1:13" ht="14.25">
      <c r="A15" s="484"/>
      <c r="B15" s="485" t="s">
        <v>2747</v>
      </c>
      <c r="C15" s="483"/>
      <c r="D15" s="1290" t="s">
        <v>1894</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1892</v>
      </c>
      <c r="F18" s="445"/>
      <c r="I18" s="490"/>
    </row>
    <row r="19" spans="1:9">
      <c r="A19" s="483"/>
      <c r="B19" s="483"/>
      <c r="C19" s="483"/>
      <c r="I19" s="490"/>
    </row>
    <row r="20" spans="1:9" ht="14.25">
      <c r="A20" s="484"/>
      <c r="B20" s="485" t="s">
        <v>2747</v>
      </c>
      <c r="D20" s="1290" t="s">
        <v>1895</v>
      </c>
      <c r="E20" s="1290"/>
      <c r="F20" s="1290"/>
      <c r="I20" s="490"/>
    </row>
    <row r="21" spans="1:9" ht="14.25">
      <c r="A21" s="484"/>
      <c r="D21" s="1290"/>
      <c r="E21" s="1290"/>
      <c r="F21" s="1290"/>
      <c r="I21" s="490"/>
    </row>
    <row r="22" spans="1:9" ht="14.25">
      <c r="A22" s="484"/>
      <c r="D22" s="392"/>
      <c r="E22" s="96" t="s">
        <v>1891</v>
      </c>
      <c r="F22" s="392"/>
      <c r="I22" s="490"/>
    </row>
    <row r="23" spans="1:9" ht="14.25">
      <c r="A23" s="484"/>
      <c r="B23" s="484"/>
      <c r="D23" s="446"/>
      <c r="I23" s="490"/>
    </row>
    <row r="24" spans="1:9" ht="14.25">
      <c r="A24" s="484"/>
      <c r="B24" s="485" t="s">
        <v>2748</v>
      </c>
      <c r="D24" s="1290" t="s">
        <v>1090</v>
      </c>
      <c r="E24" s="1290"/>
      <c r="F24" s="1290"/>
      <c r="I24" s="490"/>
    </row>
    <row r="25" spans="1:9" ht="14.25">
      <c r="A25" s="484"/>
      <c r="B25" s="484"/>
      <c r="D25" s="1290"/>
      <c r="E25" s="1290"/>
      <c r="F25" s="1290"/>
      <c r="I25" s="490"/>
    </row>
    <row r="26" spans="1:9">
      <c r="I26" s="490"/>
    </row>
    <row r="27" spans="1:9" ht="14.25">
      <c r="A27" s="484"/>
      <c r="B27" s="485" t="s">
        <v>2747</v>
      </c>
      <c r="D27" s="1290" t="s">
        <v>2007</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2748</v>
      </c>
      <c r="D33" s="1290" t="s">
        <v>2008</v>
      </c>
      <c r="E33" s="1290"/>
      <c r="F33" s="1290"/>
      <c r="I33" s="490"/>
    </row>
    <row r="34" spans="1:9">
      <c r="D34" s="1290"/>
      <c r="E34" s="1290"/>
      <c r="F34" s="1290"/>
      <c r="I34" s="490"/>
    </row>
    <row r="35" spans="1:9" ht="14.25">
      <c r="A35" s="484"/>
      <c r="B35" s="484"/>
      <c r="D35" s="447"/>
      <c r="I35" s="490"/>
    </row>
    <row r="36" spans="1:9" ht="14.45" customHeight="1">
      <c r="A36" s="484"/>
      <c r="B36" s="485" t="s">
        <v>2747</v>
      </c>
      <c r="D36" s="1290" t="s">
        <v>1213</v>
      </c>
      <c r="E36" s="1290"/>
      <c r="F36" s="1290"/>
      <c r="I36" s="490"/>
    </row>
    <row r="37" spans="1:9" ht="14.25">
      <c r="A37" s="484"/>
      <c r="B37" s="484"/>
      <c r="D37" s="1290"/>
      <c r="E37" s="1290"/>
      <c r="F37" s="1290"/>
      <c r="I37" s="490"/>
    </row>
    <row r="38" spans="1:9" ht="14.25">
      <c r="A38" s="484"/>
      <c r="B38" s="484"/>
      <c r="D38" s="1290"/>
      <c r="E38" s="1290"/>
      <c r="F38" s="1290"/>
      <c r="I38" s="490"/>
    </row>
    <row r="39" spans="1:9" ht="14.25">
      <c r="A39" s="484"/>
      <c r="B39" s="484"/>
      <c r="D39" s="1290"/>
      <c r="E39" s="1290"/>
      <c r="F39" s="1290"/>
      <c r="I39" s="490"/>
    </row>
    <row r="40" spans="1:9" ht="14.25">
      <c r="A40" s="484"/>
      <c r="B40" s="484"/>
      <c r="I40" s="490"/>
    </row>
    <row r="41" spans="1:9" ht="14.25">
      <c r="A41" s="484"/>
      <c r="B41" s="485" t="s">
        <v>2748</v>
      </c>
      <c r="D41" s="1290" t="s">
        <v>1091</v>
      </c>
      <c r="E41" s="1290"/>
      <c r="F41" s="1290"/>
      <c r="I41" s="490"/>
    </row>
    <row r="42" spans="1:9" ht="14.25">
      <c r="A42" s="484"/>
      <c r="B42" s="484"/>
      <c r="D42" s="1290"/>
      <c r="E42" s="1290"/>
      <c r="F42" s="1290"/>
      <c r="I42" s="490"/>
    </row>
    <row r="43" spans="1:9" ht="14.25">
      <c r="A43" s="484"/>
      <c r="B43" s="484"/>
      <c r="D43" s="1290"/>
      <c r="E43" s="1290"/>
      <c r="F43" s="1290"/>
      <c r="I43" s="490"/>
    </row>
    <row r="44" spans="1:9" ht="14.25">
      <c r="A44" s="484"/>
      <c r="B44" s="484"/>
      <c r="D44" s="1290"/>
      <c r="E44" s="1290"/>
      <c r="F44" s="1290"/>
      <c r="I44" s="490"/>
    </row>
    <row r="45" spans="1:9" ht="14.25">
      <c r="A45" s="484"/>
      <c r="B45" s="484"/>
      <c r="D45" s="1290"/>
      <c r="E45" s="1290"/>
      <c r="F45" s="1290"/>
      <c r="I45" s="490"/>
    </row>
    <row r="46" spans="1:9" ht="14.25">
      <c r="A46" s="484"/>
      <c r="B46" s="484"/>
      <c r="D46" s="445"/>
      <c r="E46" s="445"/>
      <c r="F46" s="445"/>
      <c r="I46" s="490"/>
    </row>
    <row r="47" spans="1:9" ht="14.25">
      <c r="A47" s="484"/>
      <c r="B47" s="485" t="s">
        <v>2747</v>
      </c>
      <c r="D47" s="1290" t="s">
        <v>1092</v>
      </c>
      <c r="E47" s="1290"/>
      <c r="F47" s="1290"/>
      <c r="I47" s="490"/>
    </row>
    <row r="48" spans="1:9" ht="14.25">
      <c r="A48" s="484"/>
      <c r="B48" s="484"/>
      <c r="D48" s="1290"/>
      <c r="E48" s="1290"/>
      <c r="F48" s="1290"/>
      <c r="I48" s="490"/>
    </row>
    <row r="49" spans="1:9" ht="14.25">
      <c r="A49" s="484"/>
      <c r="B49" s="484"/>
      <c r="D49" s="1290"/>
      <c r="E49" s="1290"/>
      <c r="F49" s="1290"/>
      <c r="I49" s="490"/>
    </row>
    <row r="50" spans="1:9" ht="23.25" customHeight="1">
      <c r="A50" s="484"/>
      <c r="B50" s="484"/>
      <c r="D50" s="1290"/>
      <c r="E50" s="1290"/>
      <c r="F50" s="1290"/>
      <c r="I50" s="490"/>
    </row>
    <row r="51" spans="1:9" ht="14.25">
      <c r="A51" s="484"/>
      <c r="B51" s="484"/>
      <c r="D51" s="446"/>
      <c r="I51" s="490"/>
    </row>
    <row r="52" spans="1:9" ht="14.45" customHeight="1">
      <c r="A52" s="484"/>
      <c r="B52" s="485" t="s">
        <v>2748</v>
      </c>
      <c r="D52" s="1290" t="s">
        <v>1093</v>
      </c>
      <c r="E52" s="1290"/>
      <c r="F52" s="1290"/>
      <c r="I52" s="490"/>
    </row>
    <row r="53" spans="1:9" ht="14.25">
      <c r="A53" s="484"/>
      <c r="B53" s="484"/>
      <c r="D53" s="1290"/>
      <c r="E53" s="1290"/>
      <c r="F53" s="1290"/>
      <c r="I53" s="490"/>
    </row>
    <row r="54" spans="1:9" ht="14.25">
      <c r="A54" s="484"/>
      <c r="B54" s="484"/>
      <c r="D54" s="1290"/>
      <c r="E54" s="1290"/>
      <c r="F54" s="1290"/>
      <c r="I54" s="490"/>
    </row>
    <row r="55" spans="1:9" ht="14.25">
      <c r="A55" s="484"/>
      <c r="B55" s="484"/>
      <c r="I55" s="490"/>
    </row>
    <row r="56" spans="1:9" ht="14.25">
      <c r="A56" s="484"/>
      <c r="B56" s="485" t="s">
        <v>2747</v>
      </c>
      <c r="D56" s="1312" t="s">
        <v>1094</v>
      </c>
      <c r="E56" s="1312"/>
      <c r="F56" s="1312"/>
      <c r="I56" s="490"/>
    </row>
    <row r="57" spans="1:9" ht="14.25">
      <c r="A57" s="484"/>
      <c r="B57" s="484"/>
      <c r="D57" s="1312"/>
      <c r="E57" s="1312"/>
      <c r="F57" s="1312"/>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2747</v>
      </c>
      <c r="D61" s="1290" t="s">
        <v>1095</v>
      </c>
      <c r="E61" s="1290"/>
      <c r="F61" s="1290"/>
      <c r="I61" s="490"/>
    </row>
    <row r="62" spans="1:9">
      <c r="D62" s="1290"/>
      <c r="E62" s="1290"/>
      <c r="F62" s="1290"/>
      <c r="I62" s="490"/>
    </row>
    <row r="63" spans="1:9">
      <c r="D63" s="1290"/>
      <c r="E63" s="1290"/>
      <c r="F63" s="1290"/>
      <c r="I63" s="490"/>
    </row>
    <row r="64" spans="1:9">
      <c r="I64" s="490"/>
    </row>
    <row r="65" spans="1:9" ht="14.25">
      <c r="A65" s="484"/>
      <c r="B65" s="485" t="s">
        <v>2748</v>
      </c>
      <c r="D65" s="1290" t="s">
        <v>1096</v>
      </c>
      <c r="E65" s="1290"/>
      <c r="F65" s="1290"/>
      <c r="I65" s="490"/>
    </row>
    <row r="66" spans="1:9">
      <c r="D66" s="1290"/>
      <c r="E66" s="1290"/>
      <c r="F66" s="1290"/>
      <c r="I66" s="490"/>
    </row>
    <row r="67" spans="1:9">
      <c r="I67" s="490"/>
    </row>
    <row r="68" spans="1:9" ht="14.25">
      <c r="A68" s="484"/>
      <c r="B68" s="485" t="s">
        <v>2748</v>
      </c>
      <c r="D68" s="1290" t="s">
        <v>1097</v>
      </c>
      <c r="E68" s="1290"/>
      <c r="F68" s="1290"/>
      <c r="I68" s="490"/>
    </row>
    <row r="69" spans="1:9">
      <c r="D69" s="1290"/>
      <c r="E69" s="1290"/>
      <c r="F69" s="1290"/>
      <c r="I69" s="490"/>
    </row>
    <row r="70" spans="1:9">
      <c r="D70" s="1290"/>
      <c r="E70" s="1290"/>
      <c r="F70" s="1290"/>
      <c r="I70" s="490"/>
    </row>
    <row r="71" spans="1:9">
      <c r="I71" s="490"/>
    </row>
    <row r="72" spans="1:9" ht="14.25">
      <c r="A72" s="484"/>
      <c r="B72" s="485" t="s">
        <v>2747</v>
      </c>
      <c r="D72" s="1290" t="s">
        <v>1098</v>
      </c>
      <c r="E72" s="1290"/>
      <c r="F72" s="1290"/>
      <c r="I72" s="490"/>
    </row>
    <row r="73" spans="1:9">
      <c r="D73" s="1290"/>
      <c r="E73" s="1290"/>
      <c r="F73" s="1290"/>
      <c r="I73" s="490"/>
    </row>
    <row r="74" spans="1:9" ht="14.25">
      <c r="A74" s="484"/>
      <c r="B74" s="484"/>
      <c r="D74" s="446"/>
      <c r="I74" s="490"/>
    </row>
    <row r="75" spans="1:9">
      <c r="A75" s="1293" t="s">
        <v>1043</v>
      </c>
      <c r="B75" s="1293"/>
      <c r="C75" s="1293"/>
      <c r="D75" s="1293"/>
      <c r="E75" s="1293"/>
      <c r="F75" s="1293"/>
      <c r="G75" s="1293"/>
      <c r="H75" s="1023"/>
      <c r="I75" s="1147"/>
    </row>
    <row r="76" spans="1:9">
      <c r="I76" s="490"/>
    </row>
    <row r="77" spans="1:9">
      <c r="C77" s="486"/>
      <c r="D77" s="1292" t="s">
        <v>1101</v>
      </c>
      <c r="E77" s="1292"/>
      <c r="F77" s="1292"/>
      <c r="I77" s="490"/>
    </row>
    <row r="78" spans="1:9">
      <c r="A78" s="446"/>
      <c r="B78" s="446"/>
      <c r="D78" s="1290" t="s">
        <v>1116</v>
      </c>
      <c r="E78" s="1290"/>
      <c r="F78" s="1290"/>
      <c r="I78" s="490"/>
    </row>
    <row r="79" spans="1:9">
      <c r="A79" s="446"/>
      <c r="B79" s="446"/>
      <c r="I79" s="490"/>
    </row>
    <row r="80" spans="1:9" ht="13.7" customHeight="1">
      <c r="A80" s="484"/>
      <c r="B80" s="485" t="s">
        <v>2747</v>
      </c>
      <c r="D80" s="1290" t="s">
        <v>1244</v>
      </c>
      <c r="E80" s="1290"/>
      <c r="F80" s="1290"/>
      <c r="I80" s="490"/>
    </row>
    <row r="81" spans="1:9" ht="14.25">
      <c r="A81" s="484"/>
      <c r="B81" s="484"/>
      <c r="D81" s="1290"/>
      <c r="E81" s="1290"/>
      <c r="F81" s="1290"/>
      <c r="I81" s="490"/>
    </row>
    <row r="82" spans="1:9" ht="14.25">
      <c r="A82" s="484"/>
      <c r="B82" s="484"/>
      <c r="D82" s="1290"/>
      <c r="E82" s="1290"/>
      <c r="F82" s="1290"/>
      <c r="I82" s="490"/>
    </row>
    <row r="83" spans="1:9" ht="14.25">
      <c r="A83" s="484"/>
      <c r="B83" s="484"/>
      <c r="D83" s="1290"/>
      <c r="E83" s="1290"/>
      <c r="F83" s="1290"/>
      <c r="I83" s="490"/>
    </row>
    <row r="84" spans="1:9" ht="14.25">
      <c r="A84" s="484"/>
      <c r="B84" s="484"/>
      <c r="D84" s="1290"/>
      <c r="E84" s="1290"/>
      <c r="F84" s="1290"/>
      <c r="I84" s="490"/>
    </row>
    <row r="85" spans="1:9" ht="14.25">
      <c r="A85" s="484"/>
      <c r="B85" s="484"/>
      <c r="D85" s="1290"/>
      <c r="E85" s="1290"/>
      <c r="F85" s="1290"/>
      <c r="I85" s="490"/>
    </row>
    <row r="86" spans="1:9" ht="14.25">
      <c r="A86" s="484"/>
      <c r="B86" s="484"/>
      <c r="D86" s="1290"/>
      <c r="E86" s="1290"/>
      <c r="F86" s="1290"/>
      <c r="I86" s="490"/>
    </row>
    <row r="87" spans="1:9" ht="14.25">
      <c r="A87" s="484"/>
      <c r="B87" s="484"/>
      <c r="D87" s="1290"/>
      <c r="E87" s="1290"/>
      <c r="F87" s="1290"/>
      <c r="I87" s="490"/>
    </row>
    <row r="88" spans="1:9" ht="14.25">
      <c r="A88" s="484"/>
      <c r="B88" s="484"/>
      <c r="D88" s="385"/>
      <c r="E88" s="385"/>
      <c r="F88" s="385"/>
      <c r="I88" s="490"/>
    </row>
    <row r="89" spans="1:9" ht="15" customHeight="1">
      <c r="A89" s="484"/>
      <c r="B89" s="485" t="s">
        <v>2747</v>
      </c>
      <c r="D89" s="1290" t="s">
        <v>1730</v>
      </c>
      <c r="E89" s="1290"/>
      <c r="F89" s="1290"/>
      <c r="I89" s="490"/>
    </row>
    <row r="90" spans="1:9" ht="14.25">
      <c r="A90" s="484"/>
      <c r="B90" s="484"/>
      <c r="D90" s="1290"/>
      <c r="E90" s="1290"/>
      <c r="F90" s="1290"/>
      <c r="I90" s="490"/>
    </row>
    <row r="91" spans="1:9" ht="14.25">
      <c r="A91" s="484"/>
      <c r="B91" s="484"/>
      <c r="D91" s="445"/>
      <c r="E91" s="445"/>
      <c r="F91" s="445"/>
      <c r="I91" s="490"/>
    </row>
    <row r="92" spans="1:9" ht="14.25">
      <c r="A92" s="484"/>
      <c r="B92" s="485" t="s">
        <v>2748</v>
      </c>
      <c r="D92" s="1290" t="s">
        <v>1733</v>
      </c>
      <c r="E92" s="1290"/>
      <c r="F92" s="1290"/>
      <c r="I92" s="490"/>
    </row>
    <row r="93" spans="1:9" ht="14.25">
      <c r="A93" s="484"/>
      <c r="B93" s="484"/>
      <c r="D93" s="1290"/>
      <c r="E93" s="1290"/>
      <c r="F93" s="1290"/>
      <c r="I93" s="490"/>
    </row>
    <row r="94" spans="1:9" ht="14.25">
      <c r="A94" s="484"/>
      <c r="B94" s="484"/>
      <c r="D94" s="1290"/>
      <c r="E94" s="1290"/>
      <c r="F94" s="1290"/>
      <c r="I94" s="490"/>
    </row>
    <row r="95" spans="1:9" ht="14.25">
      <c r="A95" s="484"/>
      <c r="B95" s="484"/>
      <c r="D95" s="445"/>
      <c r="E95" s="445"/>
      <c r="F95" s="445"/>
      <c r="I95" s="490"/>
    </row>
    <row r="96" spans="1:9" ht="14.25">
      <c r="A96" s="484"/>
      <c r="B96" s="485" t="s">
        <v>2747</v>
      </c>
      <c r="D96" s="1290" t="s">
        <v>1732</v>
      </c>
      <c r="E96" s="1290"/>
      <c r="F96" s="1290"/>
      <c r="I96" s="490"/>
    </row>
    <row r="97" spans="1:9" s="982" customFormat="1" ht="14.25">
      <c r="A97" s="980"/>
      <c r="B97" s="980"/>
      <c r="C97" s="981"/>
      <c r="D97" s="1290"/>
      <c r="E97" s="1290"/>
      <c r="F97" s="1290"/>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2748</v>
      </c>
      <c r="D100" s="1290" t="s">
        <v>1731</v>
      </c>
      <c r="E100" s="1290"/>
      <c r="F100" s="1290"/>
      <c r="I100" s="490"/>
    </row>
    <row r="101" spans="1:9" ht="14.25">
      <c r="A101" s="484"/>
      <c r="B101" s="484"/>
      <c r="D101" s="1290"/>
      <c r="E101" s="1290"/>
      <c r="F101" s="1290"/>
      <c r="I101" s="490"/>
    </row>
    <row r="102" spans="1:9" ht="14.25">
      <c r="A102" s="484"/>
      <c r="B102" s="484"/>
      <c r="D102" s="445"/>
      <c r="E102" s="445"/>
      <c r="F102" s="445"/>
      <c r="I102" s="490"/>
    </row>
    <row r="103" spans="1:9" ht="14.45" customHeight="1">
      <c r="A103" s="484"/>
      <c r="B103" s="485" t="s">
        <v>2748</v>
      </c>
      <c r="D103" s="1290" t="s">
        <v>1193</v>
      </c>
      <c r="E103" s="1290"/>
      <c r="F103" s="1290"/>
      <c r="I103" s="490"/>
    </row>
    <row r="104" spans="1:9" ht="14.25">
      <c r="A104" s="484"/>
      <c r="B104" s="484"/>
      <c r="D104" s="1290"/>
      <c r="E104" s="1290"/>
      <c r="F104" s="1290"/>
      <c r="I104" s="490"/>
    </row>
    <row r="105" spans="1:9" ht="14.25">
      <c r="A105" s="484"/>
      <c r="B105" s="484"/>
      <c r="D105" s="1290"/>
      <c r="E105" s="1290"/>
      <c r="F105" s="1290"/>
      <c r="I105" s="490"/>
    </row>
    <row r="106" spans="1:9" ht="14.25">
      <c r="A106" s="484"/>
      <c r="B106" s="484"/>
      <c r="D106" s="1290"/>
      <c r="E106" s="1290"/>
      <c r="F106" s="1290"/>
      <c r="I106" s="490"/>
    </row>
    <row r="107" spans="1:9" ht="14.25">
      <c r="A107" s="484"/>
      <c r="B107" s="484"/>
      <c r="D107" s="1290"/>
      <c r="E107" s="1290"/>
      <c r="F107" s="1290"/>
      <c r="I107" s="490"/>
    </row>
    <row r="108" spans="1:9" ht="14.25">
      <c r="A108" s="484"/>
      <c r="B108" s="484"/>
      <c r="D108" s="1290"/>
      <c r="E108" s="1290"/>
      <c r="F108" s="1290"/>
      <c r="I108" s="490"/>
    </row>
    <row r="109" spans="1:9" ht="14.25">
      <c r="A109" s="484"/>
      <c r="B109" s="484"/>
      <c r="D109" s="1290"/>
      <c r="E109" s="1290"/>
      <c r="F109" s="1290"/>
      <c r="I109" s="490"/>
    </row>
    <row r="110" spans="1:9" ht="14.25">
      <c r="A110" s="484"/>
      <c r="B110" s="484"/>
      <c r="D110" s="1290"/>
      <c r="E110" s="1290"/>
      <c r="F110" s="1290"/>
      <c r="I110" s="490"/>
    </row>
    <row r="111" spans="1:9" ht="14.25">
      <c r="A111" s="484"/>
      <c r="B111" s="484"/>
      <c r="D111" s="1290"/>
      <c r="E111" s="1290"/>
      <c r="F111" s="1290"/>
      <c r="I111" s="490"/>
    </row>
    <row r="112" spans="1:9" ht="14.25">
      <c r="A112" s="484"/>
      <c r="B112" s="484"/>
      <c r="D112" s="1290"/>
      <c r="E112" s="1290"/>
      <c r="F112" s="1290"/>
      <c r="I112" s="490"/>
    </row>
    <row r="113" spans="1:9" ht="14.25">
      <c r="A113" s="484"/>
      <c r="B113" s="484"/>
      <c r="D113" s="1290"/>
      <c r="E113" s="1290"/>
      <c r="F113" s="1290"/>
      <c r="I113" s="490"/>
    </row>
    <row r="114" spans="1:9" ht="14.25">
      <c r="A114" s="484"/>
      <c r="B114" s="484"/>
      <c r="D114" s="1290"/>
      <c r="E114" s="1290"/>
      <c r="F114" s="1290"/>
      <c r="I114" s="490"/>
    </row>
    <row r="115" spans="1:9" ht="14.25">
      <c r="A115" s="484"/>
      <c r="B115" s="484"/>
      <c r="D115" s="1290"/>
      <c r="E115" s="1290"/>
      <c r="F115" s="1290"/>
      <c r="I115" s="490"/>
    </row>
    <row r="116" spans="1:9" ht="14.25">
      <c r="A116" s="484"/>
      <c r="B116" s="484"/>
      <c r="D116" s="1290"/>
      <c r="E116" s="1290"/>
      <c r="F116" s="1290"/>
      <c r="I116" s="490"/>
    </row>
    <row r="117" spans="1:9" ht="14.25">
      <c r="A117" s="484"/>
      <c r="B117" s="484"/>
      <c r="D117" s="1290"/>
      <c r="E117" s="1290"/>
      <c r="F117" s="1290"/>
      <c r="I117" s="490"/>
    </row>
    <row r="118" spans="1:9" ht="14.25">
      <c r="A118" s="484"/>
      <c r="B118" s="484"/>
      <c r="D118" s="524"/>
      <c r="E118" s="524"/>
      <c r="F118" s="524"/>
      <c r="I118" s="490"/>
    </row>
    <row r="119" spans="1:9" ht="14.25" customHeight="1">
      <c r="A119" s="484"/>
      <c r="B119" s="485" t="s">
        <v>2748</v>
      </c>
      <c r="D119" s="1308" t="s">
        <v>1102</v>
      </c>
      <c r="E119" s="1308"/>
      <c r="F119" s="1308"/>
      <c r="I119" s="490"/>
    </row>
    <row r="120" spans="1:9" ht="14.25">
      <c r="A120" s="484"/>
      <c r="B120" s="484"/>
      <c r="D120" s="1308"/>
      <c r="E120" s="1308"/>
      <c r="F120" s="1308"/>
      <c r="I120" s="490"/>
    </row>
    <row r="121" spans="1:9" ht="14.25">
      <c r="A121" s="484"/>
      <c r="B121" s="484"/>
      <c r="D121" s="1308"/>
      <c r="E121" s="1308"/>
      <c r="F121" s="1308"/>
      <c r="I121" s="490"/>
    </row>
    <row r="122" spans="1:9" ht="14.25">
      <c r="A122" s="484"/>
      <c r="B122" s="484"/>
      <c r="D122" s="1308"/>
      <c r="E122" s="1308"/>
      <c r="F122" s="1308"/>
      <c r="I122" s="490"/>
    </row>
    <row r="123" spans="1:9" ht="14.25">
      <c r="A123" s="484"/>
      <c r="B123" s="484"/>
      <c r="D123" s="1308"/>
      <c r="E123" s="1308"/>
      <c r="F123" s="1308"/>
      <c r="I123" s="490"/>
    </row>
    <row r="124" spans="1:9" ht="14.25">
      <c r="A124" s="484"/>
      <c r="B124" s="484"/>
      <c r="D124" s="1308"/>
      <c r="E124" s="1308"/>
      <c r="F124" s="1308"/>
      <c r="I124" s="490"/>
    </row>
    <row r="125" spans="1:9" ht="14.25">
      <c r="A125" s="484"/>
      <c r="B125" s="484"/>
      <c r="D125" s="1308"/>
      <c r="E125" s="1308"/>
      <c r="F125" s="1308"/>
      <c r="I125" s="490"/>
    </row>
    <row r="126" spans="1:9" ht="14.25">
      <c r="A126" s="484"/>
      <c r="B126" s="484"/>
      <c r="D126" s="1308"/>
      <c r="E126" s="1308"/>
      <c r="F126" s="1308"/>
      <c r="I126" s="490"/>
    </row>
    <row r="127" spans="1:9">
      <c r="C127" s="402"/>
      <c r="D127" s="525"/>
      <c r="E127" s="525"/>
      <c r="F127" s="525"/>
      <c r="I127" s="490"/>
    </row>
    <row r="128" spans="1:9" ht="14.25">
      <c r="A128" s="484"/>
      <c r="B128" s="485" t="s">
        <v>2747</v>
      </c>
      <c r="C128" s="402"/>
      <c r="D128" s="1308" t="s">
        <v>2009</v>
      </c>
      <c r="E128" s="1308"/>
      <c r="F128" s="1308"/>
      <c r="I128" s="490"/>
    </row>
    <row r="129" spans="1:9" ht="14.25">
      <c r="A129" s="484"/>
      <c r="B129" s="484"/>
      <c r="C129" s="402"/>
      <c r="D129" s="1308"/>
      <c r="E129" s="1308"/>
      <c r="F129" s="1308"/>
      <c r="I129" s="490"/>
    </row>
    <row r="130" spans="1:9">
      <c r="I130" s="490"/>
    </row>
    <row r="131" spans="1:9" ht="14.25">
      <c r="A131" s="484"/>
      <c r="B131" s="485" t="s">
        <v>2747</v>
      </c>
      <c r="D131" s="1290" t="s">
        <v>1103</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25">
      <c r="A137" s="484"/>
      <c r="B137" s="485" t="s">
        <v>2747</v>
      </c>
      <c r="D137" s="1290" t="s">
        <v>1104</v>
      </c>
      <c r="E137" s="1290"/>
      <c r="F137" s="1290"/>
      <c r="I137" s="490"/>
    </row>
    <row r="138" spans="1:9" s="417" customFormat="1" ht="13.7" customHeight="1">
      <c r="A138" s="488"/>
      <c r="B138" s="488"/>
      <c r="C138" s="488"/>
      <c r="D138" s="1290"/>
      <c r="E138" s="1290"/>
      <c r="F138" s="1290"/>
      <c r="I138" s="1149"/>
    </row>
    <row r="139" spans="1:9" ht="13.7" customHeight="1">
      <c r="D139" s="1290"/>
      <c r="E139" s="1290"/>
      <c r="F139" s="1290"/>
      <c r="I139" s="490"/>
    </row>
    <row r="140" spans="1:9" ht="13.7" customHeight="1">
      <c r="D140" s="1290"/>
      <c r="E140" s="1290"/>
      <c r="F140" s="1290"/>
      <c r="I140" s="490"/>
    </row>
    <row r="141" spans="1:9" ht="13.7" customHeight="1">
      <c r="D141" s="1290"/>
      <c r="E141" s="1290"/>
      <c r="F141" s="1290"/>
      <c r="I141" s="490"/>
    </row>
    <row r="142" spans="1:9" ht="13.7" customHeight="1">
      <c r="A142" s="489"/>
      <c r="B142" s="489"/>
      <c r="D142" s="1290"/>
      <c r="E142" s="1290"/>
      <c r="F142" s="1290"/>
      <c r="I142" s="490"/>
    </row>
    <row r="143" spans="1:9" ht="13.7" customHeight="1">
      <c r="D143" s="1290"/>
      <c r="E143" s="1290"/>
      <c r="F143" s="1290"/>
      <c r="I143" s="490"/>
    </row>
    <row r="144" spans="1:9" ht="13.7" customHeight="1">
      <c r="D144" s="1290"/>
      <c r="E144" s="1290"/>
      <c r="F144" s="1290"/>
      <c r="I144" s="490"/>
    </row>
    <row r="145" spans="2:9" ht="13.7" customHeight="1">
      <c r="D145" s="1290"/>
      <c r="E145" s="1290"/>
      <c r="F145" s="1290"/>
      <c r="I145" s="490"/>
    </row>
    <row r="146" spans="2:9" ht="13.7" customHeight="1">
      <c r="D146" s="1290"/>
      <c r="E146" s="1290"/>
      <c r="F146" s="1290"/>
      <c r="I146" s="490"/>
    </row>
    <row r="147" spans="2:9" ht="13.7" customHeight="1">
      <c r="D147" s="1290"/>
      <c r="E147" s="1290"/>
      <c r="F147" s="1290"/>
      <c r="I147" s="490"/>
    </row>
    <row r="148" spans="2:9" ht="13.7" customHeight="1">
      <c r="D148" s="1290"/>
      <c r="E148" s="1290"/>
      <c r="F148" s="1290"/>
      <c r="I148" s="490"/>
    </row>
    <row r="149" spans="2:9" ht="13.7" customHeight="1">
      <c r="D149" s="1290"/>
      <c r="E149" s="1290"/>
      <c r="F149" s="1290"/>
      <c r="I149" s="490"/>
    </row>
    <row r="150" spans="2:9" ht="13.7" customHeight="1">
      <c r="D150" s="476"/>
      <c r="E150" s="446"/>
      <c r="F150" s="446"/>
      <c r="I150" s="490"/>
    </row>
    <row r="151" spans="2:9" ht="13.7" customHeight="1">
      <c r="B151" s="485" t="s">
        <v>2748</v>
      </c>
      <c r="D151" s="1290" t="s">
        <v>1176</v>
      </c>
      <c r="E151" s="1290"/>
      <c r="F151" s="1290"/>
      <c r="I151" s="490"/>
    </row>
    <row r="152" spans="2:9" ht="13.7" customHeight="1">
      <c r="D152" s="1290"/>
      <c r="E152" s="1290"/>
      <c r="F152" s="1290"/>
      <c r="I152" s="490"/>
    </row>
    <row r="153" spans="2:9" ht="13.7" customHeight="1">
      <c r="D153" s="1290"/>
      <c r="E153" s="1290"/>
      <c r="F153" s="1290"/>
      <c r="I153" s="490"/>
    </row>
    <row r="154" spans="2:9" ht="13.7" customHeight="1">
      <c r="D154" s="1290"/>
      <c r="E154" s="1290"/>
      <c r="F154" s="1290"/>
      <c r="I154" s="490"/>
    </row>
    <row r="155" spans="2:9" ht="13.7" customHeight="1">
      <c r="D155" s="1290"/>
      <c r="E155" s="1290"/>
      <c r="F155" s="1290"/>
      <c r="I155" s="490"/>
    </row>
    <row r="156" spans="2:9" ht="13.7" customHeight="1">
      <c r="D156" s="1290"/>
      <c r="E156" s="1290"/>
      <c r="F156" s="1290"/>
      <c r="I156" s="490"/>
    </row>
    <row r="157" spans="2:9" ht="13.7" customHeight="1">
      <c r="D157" s="1290"/>
      <c r="E157" s="1290"/>
      <c r="F157" s="1290"/>
      <c r="I157" s="490"/>
    </row>
    <row r="158" spans="2:9" ht="13.7" customHeight="1">
      <c r="D158" s="1290"/>
      <c r="E158" s="1290"/>
      <c r="F158" s="1290"/>
      <c r="I158" s="490"/>
    </row>
    <row r="159" spans="2:9" ht="13.7" customHeight="1">
      <c r="D159" s="1290"/>
      <c r="E159" s="1290"/>
      <c r="F159" s="1290"/>
      <c r="I159" s="490"/>
    </row>
    <row r="160" spans="2:9" ht="13.7" customHeight="1">
      <c r="D160" s="1290"/>
      <c r="E160" s="1290"/>
      <c r="F160" s="1290"/>
      <c r="I160" s="490"/>
    </row>
    <row r="161" spans="1:9" ht="13.7" customHeight="1">
      <c r="D161" s="1290"/>
      <c r="E161" s="1290"/>
      <c r="F161" s="1290"/>
      <c r="I161" s="490"/>
    </row>
    <row r="162" spans="1:9" ht="13.7" customHeight="1">
      <c r="D162" s="1290"/>
      <c r="E162" s="1290"/>
      <c r="F162" s="1290"/>
      <c r="I162" s="490"/>
    </row>
    <row r="163" spans="1:9" ht="13.7" customHeight="1">
      <c r="D163" s="1290"/>
      <c r="E163" s="1290"/>
      <c r="F163" s="1290"/>
      <c r="I163" s="490"/>
    </row>
    <row r="164" spans="1:9" ht="13.7" customHeight="1">
      <c r="D164" s="1290"/>
      <c r="E164" s="1290"/>
      <c r="F164" s="1290"/>
      <c r="I164" s="490"/>
    </row>
    <row r="165" spans="1:9" ht="13.7" customHeight="1">
      <c r="D165" s="1290"/>
      <c r="E165" s="1290"/>
      <c r="F165" s="1290"/>
      <c r="I165" s="490"/>
    </row>
    <row r="166" spans="1:9" ht="13.7" customHeight="1">
      <c r="D166" s="1290"/>
      <c r="E166" s="1290"/>
      <c r="F166" s="1290"/>
      <c r="I166" s="490"/>
    </row>
    <row r="167" spans="1:9" ht="13.7" customHeight="1">
      <c r="D167" s="1290"/>
      <c r="E167" s="1290"/>
      <c r="F167" s="1290"/>
      <c r="I167" s="490"/>
    </row>
    <row r="168" spans="1:9" ht="13.7" customHeight="1">
      <c r="D168" s="1290"/>
      <c r="E168" s="1290"/>
      <c r="F168" s="1290"/>
      <c r="I168" s="490"/>
    </row>
    <row r="169" spans="1:9" ht="13.7" customHeight="1">
      <c r="D169" s="1309" t="s">
        <v>2031</v>
      </c>
      <c r="E169" s="1309"/>
      <c r="F169" s="1309"/>
      <c r="G169" s="507"/>
      <c r="I169" s="490"/>
    </row>
    <row r="170" spans="1:9" ht="13.7" customHeight="1">
      <c r="D170" s="1304"/>
      <c r="E170" s="1304"/>
      <c r="F170" s="1304"/>
      <c r="G170" s="1304"/>
      <c r="I170" s="490"/>
    </row>
    <row r="171" spans="1:9" ht="14.45" customHeight="1">
      <c r="A171" s="489"/>
      <c r="B171" s="485" t="s">
        <v>2748</v>
      </c>
      <c r="C171" s="476"/>
      <c r="D171" s="1269" t="s">
        <v>2167</v>
      </c>
      <c r="E171" s="1269"/>
      <c r="F171" s="1269"/>
      <c r="G171" s="476"/>
      <c r="I171" s="490"/>
    </row>
    <row r="172" spans="1:9" ht="14.45" customHeight="1">
      <c r="A172" s="489"/>
      <c r="B172" s="489"/>
      <c r="C172" s="476"/>
      <c r="D172" s="1269"/>
      <c r="E172" s="1269"/>
      <c r="F172" s="1269"/>
      <c r="G172" s="476"/>
      <c r="I172" s="490"/>
    </row>
    <row r="173" spans="1:9" ht="14.45" customHeight="1">
      <c r="A173" s="489"/>
      <c r="B173" s="489"/>
      <c r="C173" s="476"/>
      <c r="D173" s="1269"/>
      <c r="E173" s="1269"/>
      <c r="F173" s="1269"/>
      <c r="G173" s="476"/>
      <c r="I173" s="490"/>
    </row>
    <row r="174" spans="1:9" ht="14.45" customHeight="1">
      <c r="A174" s="489"/>
      <c r="B174" s="489"/>
      <c r="C174" s="476"/>
      <c r="D174" s="1269"/>
      <c r="E174" s="1269"/>
      <c r="F174" s="1269"/>
      <c r="G174" s="476"/>
      <c r="I174" s="490"/>
    </row>
    <row r="175" spans="1:9" ht="13.7" customHeight="1">
      <c r="A175" s="489"/>
      <c r="B175" s="489"/>
      <c r="C175" s="476"/>
      <c r="D175" s="1269"/>
      <c r="E175" s="1269"/>
      <c r="F175" s="1269"/>
      <c r="G175" s="476"/>
      <c r="I175" s="490"/>
    </row>
    <row r="176" spans="1:9" ht="13.7" customHeight="1">
      <c r="A176" s="489"/>
      <c r="B176" s="489"/>
      <c r="C176" s="476"/>
      <c r="D176" s="476"/>
      <c r="E176" s="476"/>
      <c r="F176" s="476"/>
      <c r="G176" s="476"/>
      <c r="I176" s="490"/>
    </row>
    <row r="177" spans="1:9" ht="13.7" customHeight="1">
      <c r="A177" s="489"/>
      <c r="B177" s="485" t="s">
        <v>2748</v>
      </c>
      <c r="C177" s="476"/>
      <c r="D177" s="1269" t="s">
        <v>1105</v>
      </c>
      <c r="E177" s="1269"/>
      <c r="F177" s="1269"/>
      <c r="G177" s="476"/>
      <c r="I177" s="490"/>
    </row>
    <row r="178" spans="1:9" ht="13.7" customHeight="1">
      <c r="A178" s="489"/>
      <c r="B178" s="489"/>
      <c r="C178" s="476"/>
      <c r="D178" s="1269"/>
      <c r="E178" s="1269"/>
      <c r="F178" s="1269"/>
      <c r="G178" s="476"/>
      <c r="I178" s="490"/>
    </row>
    <row r="179" spans="1:9" ht="13.7" customHeight="1">
      <c r="A179" s="489"/>
      <c r="B179" s="489"/>
      <c r="C179" s="476"/>
      <c r="D179" s="1269"/>
      <c r="E179" s="1269"/>
      <c r="F179" s="1269"/>
      <c r="G179" s="476"/>
      <c r="I179" s="490"/>
    </row>
    <row r="180" spans="1:9" ht="13.7" customHeight="1">
      <c r="A180" s="489"/>
      <c r="B180" s="489"/>
      <c r="C180" s="476"/>
      <c r="D180" s="1269"/>
      <c r="E180" s="1269"/>
      <c r="F180" s="1269"/>
      <c r="G180" s="476"/>
      <c r="I180" s="490"/>
    </row>
    <row r="181" spans="1:9" ht="13.7" customHeight="1">
      <c r="D181" s="446"/>
      <c r="E181" s="446"/>
      <c r="F181" s="446"/>
      <c r="I181" s="490"/>
    </row>
    <row r="182" spans="1:9" ht="13.7" hidden="1" customHeight="1">
      <c r="B182" s="485" t="s">
        <v>307</v>
      </c>
      <c r="D182" s="1294" t="s">
        <v>2010</v>
      </c>
      <c r="E182" s="1294"/>
      <c r="F182" s="1294"/>
      <c r="I182" s="490"/>
    </row>
    <row r="183" spans="1:9" ht="13.7" hidden="1" customHeight="1">
      <c r="D183" s="1294"/>
      <c r="E183" s="1294"/>
      <c r="F183" s="1294"/>
      <c r="I183" s="490"/>
    </row>
    <row r="184" spans="1:9" ht="13.7" hidden="1" customHeight="1">
      <c r="D184" s="1294"/>
      <c r="E184" s="1294"/>
      <c r="F184" s="1294"/>
      <c r="I184" s="490"/>
    </row>
    <row r="185" spans="1:9" ht="13.7" customHeight="1">
      <c r="A185" s="490"/>
      <c r="B185" s="490"/>
      <c r="E185" s="446"/>
      <c r="F185" s="446"/>
      <c r="I185" s="490"/>
    </row>
    <row r="186" spans="1:9">
      <c r="A186" s="1293" t="s">
        <v>2011</v>
      </c>
      <c r="B186" s="1293"/>
      <c r="C186" s="1293"/>
      <c r="D186" s="1293"/>
      <c r="E186" s="1293"/>
      <c r="F186" s="1293"/>
      <c r="G186" s="1293"/>
      <c r="H186" s="1023"/>
      <c r="I186" s="1147"/>
    </row>
    <row r="187" spans="1:9" ht="12" customHeight="1">
      <c r="D187" s="446"/>
      <c r="E187" s="446"/>
      <c r="F187" s="446"/>
      <c r="I187" s="490"/>
    </row>
    <row r="188" spans="1:9">
      <c r="B188" s="1297" t="s">
        <v>446</v>
      </c>
      <c r="C188" s="1297"/>
      <c r="D188" s="1297"/>
      <c r="E188" s="1297"/>
      <c r="F188" s="1297"/>
      <c r="I188" s="490"/>
    </row>
    <row r="189" spans="1:9">
      <c r="B189" s="392" t="s">
        <v>1848</v>
      </c>
      <c r="C189" s="392"/>
      <c r="D189" s="392"/>
      <c r="E189" s="392"/>
      <c r="F189" s="392"/>
      <c r="I189" s="490"/>
    </row>
    <row r="190" spans="1:9" ht="12" customHeight="1">
      <c r="A190" s="482"/>
      <c r="B190" s="482"/>
      <c r="C190" s="482"/>
      <c r="I190" s="490"/>
    </row>
    <row r="191" spans="1:9">
      <c r="A191" s="1293" t="s">
        <v>1044</v>
      </c>
      <c r="B191" s="1293"/>
      <c r="C191" s="1293"/>
      <c r="D191" s="1293"/>
      <c r="E191" s="1293"/>
      <c r="F191" s="1293"/>
      <c r="G191" s="1293"/>
      <c r="H191" s="1023"/>
      <c r="I191" s="1147"/>
    </row>
    <row r="192" spans="1:9" ht="12" customHeight="1">
      <c r="A192" s="404"/>
      <c r="B192" s="404"/>
      <c r="E192" s="404"/>
      <c r="I192" s="490"/>
    </row>
    <row r="193" spans="1:9" ht="13.7" customHeight="1">
      <c r="A193" s="404"/>
      <c r="B193" s="404"/>
      <c r="D193" s="1292" t="s">
        <v>1734</v>
      </c>
      <c r="E193" s="1292"/>
      <c r="F193" s="1292"/>
      <c r="I193" s="490"/>
    </row>
    <row r="194" spans="1:9">
      <c r="A194" s="404"/>
      <c r="B194" s="404"/>
      <c r="D194" s="1292"/>
      <c r="E194" s="1292"/>
      <c r="F194" s="1292"/>
      <c r="I194" s="490"/>
    </row>
    <row r="195" spans="1:9">
      <c r="A195" s="404"/>
      <c r="B195" s="404"/>
      <c r="D195" s="1297" t="s">
        <v>1194</v>
      </c>
      <c r="E195" s="1297"/>
      <c r="F195" s="1297"/>
      <c r="I195" s="490"/>
    </row>
    <row r="196" spans="1:9">
      <c r="A196" s="404"/>
      <c r="B196" s="404"/>
      <c r="D196" s="392"/>
      <c r="E196" s="392"/>
      <c r="F196" s="392"/>
      <c r="I196" s="490"/>
    </row>
    <row r="197" spans="1:9">
      <c r="A197" s="404"/>
      <c r="B197" s="485" t="s">
        <v>2748</v>
      </c>
      <c r="D197" s="1305" t="s">
        <v>1735</v>
      </c>
      <c r="E197" s="1305"/>
      <c r="F197" s="1305"/>
      <c r="I197" s="490"/>
    </row>
    <row r="198" spans="1:9">
      <c r="A198" s="404"/>
      <c r="B198" s="404"/>
      <c r="D198" s="1306" t="s">
        <v>1874</v>
      </c>
      <c r="E198" s="1306"/>
      <c r="F198" s="1306"/>
      <c r="I198" s="490"/>
    </row>
    <row r="199" spans="1:9">
      <c r="A199" s="404"/>
      <c r="B199" s="404"/>
      <c r="D199" s="96" t="s">
        <v>1736</v>
      </c>
      <c r="E199" s="1307" t="s">
        <v>1897</v>
      </c>
      <c r="F199" s="1307"/>
      <c r="I199" s="490"/>
    </row>
    <row r="200" spans="1:9">
      <c r="A200" s="404"/>
      <c r="B200" s="404"/>
      <c r="D200" s="3"/>
      <c r="E200" s="3"/>
      <c r="F200" s="3"/>
      <c r="I200" s="490"/>
    </row>
    <row r="201" spans="1:9">
      <c r="A201" s="404"/>
      <c r="B201" s="485" t="s">
        <v>2748</v>
      </c>
      <c r="D201" s="1306" t="s">
        <v>1737</v>
      </c>
      <c r="E201" s="1306"/>
      <c r="F201" s="1306"/>
      <c r="I201" s="490"/>
    </row>
    <row r="202" spans="1:9">
      <c r="A202" s="404"/>
      <c r="B202" s="404"/>
      <c r="D202" s="1305" t="s">
        <v>1874</v>
      </c>
      <c r="E202" s="1305"/>
      <c r="F202" s="1305"/>
      <c r="I202" s="490"/>
    </row>
    <row r="203" spans="1:9">
      <c r="A203" s="404"/>
      <c r="B203" s="404"/>
      <c r="D203" s="57" t="s">
        <v>1738</v>
      </c>
      <c r="E203" s="1307" t="s">
        <v>1898</v>
      </c>
      <c r="F203" s="1307"/>
      <c r="I203" s="490"/>
    </row>
    <row r="204" spans="1:9">
      <c r="A204" s="404"/>
      <c r="B204" s="404"/>
      <c r="D204" s="3"/>
      <c r="E204" s="3"/>
      <c r="F204" s="3"/>
      <c r="I204" s="490"/>
    </row>
    <row r="205" spans="1:9">
      <c r="A205" s="404"/>
      <c r="B205" s="485" t="s">
        <v>2748</v>
      </c>
      <c r="D205" s="1306" t="s">
        <v>1739</v>
      </c>
      <c r="E205" s="1306"/>
      <c r="F205" s="1306"/>
      <c r="I205" s="490"/>
    </row>
    <row r="206" spans="1:9">
      <c r="A206" s="404"/>
      <c r="B206" s="404"/>
      <c r="D206" s="1305" t="s">
        <v>1874</v>
      </c>
      <c r="E206" s="1305"/>
      <c r="F206" s="1305"/>
      <c r="I206" s="490"/>
    </row>
    <row r="207" spans="1:9">
      <c r="A207" s="404"/>
      <c r="B207" s="404"/>
      <c r="D207" s="57" t="s">
        <v>1736</v>
      </c>
      <c r="E207" s="1307" t="s">
        <v>1899</v>
      </c>
      <c r="F207" s="1307"/>
      <c r="I207" s="490"/>
    </row>
    <row r="208" spans="1:9">
      <c r="A208" s="404"/>
      <c r="B208" s="404"/>
      <c r="D208" s="392"/>
      <c r="E208" s="392"/>
      <c r="F208" s="392"/>
      <c r="I208" s="490"/>
    </row>
    <row r="209" spans="1:9" ht="14.25" customHeight="1">
      <c r="A209" s="484"/>
      <c r="B209" s="485" t="s">
        <v>2748</v>
      </c>
      <c r="D209" s="386" t="s">
        <v>1867</v>
      </c>
      <c r="E209" s="385"/>
      <c r="F209" s="385"/>
      <c r="I209" s="490"/>
    </row>
    <row r="210" spans="1:9" ht="14.25">
      <c r="A210" s="484"/>
      <c r="B210" s="484"/>
      <c r="D210" s="1305" t="s">
        <v>1874</v>
      </c>
      <c r="E210" s="1305"/>
      <c r="F210" s="1305"/>
      <c r="I210" s="490"/>
    </row>
    <row r="211" spans="1:9">
      <c r="D211" s="385"/>
      <c r="E211" s="1307" t="s">
        <v>1900</v>
      </c>
      <c r="F211" s="1307"/>
      <c r="I211" s="490"/>
    </row>
    <row r="212" spans="1:9">
      <c r="D212" s="447"/>
      <c r="I212" s="490"/>
    </row>
    <row r="213" spans="1:9">
      <c r="B213" s="485" t="s">
        <v>2748</v>
      </c>
      <c r="D213" s="1306" t="s">
        <v>1740</v>
      </c>
      <c r="E213" s="1306"/>
      <c r="F213" s="1306"/>
      <c r="I213" s="490"/>
    </row>
    <row r="214" spans="1:9">
      <c r="D214" s="1305" t="s">
        <v>1874</v>
      </c>
      <c r="E214" s="1305"/>
      <c r="F214" s="1305"/>
      <c r="I214" s="490"/>
    </row>
    <row r="215" spans="1:9">
      <c r="D215" s="57" t="s">
        <v>1736</v>
      </c>
      <c r="E215" s="1307" t="s">
        <v>1901</v>
      </c>
      <c r="F215" s="1307"/>
      <c r="I215" s="490"/>
    </row>
    <row r="216" spans="1:9">
      <c r="D216" s="451"/>
      <c r="E216" s="451"/>
      <c r="F216" s="451"/>
      <c r="I216" s="490"/>
    </row>
    <row r="217" spans="1:9" ht="14.25">
      <c r="A217" s="484"/>
      <c r="B217" s="485" t="s">
        <v>2748</v>
      </c>
      <c r="D217" s="1290" t="s">
        <v>1215</v>
      </c>
      <c r="E217" s="1290"/>
      <c r="F217" s="1290"/>
      <c r="I217" s="490"/>
    </row>
    <row r="218" spans="1:9" ht="14.45" customHeight="1">
      <c r="A218" s="484"/>
      <c r="B218" s="402"/>
      <c r="D218" s="1290"/>
      <c r="E218" s="1290"/>
      <c r="F218" s="1290"/>
      <c r="I218" s="490"/>
    </row>
    <row r="219" spans="1:9" ht="14.25">
      <c r="A219" s="484"/>
      <c r="D219" s="1290"/>
      <c r="E219" s="1290"/>
      <c r="F219" s="1290"/>
      <c r="I219" s="490"/>
    </row>
    <row r="220" spans="1:9" ht="14.25">
      <c r="A220" s="484"/>
      <c r="D220" s="1290"/>
      <c r="E220" s="1290"/>
      <c r="F220" s="1290"/>
      <c r="I220" s="490"/>
    </row>
    <row r="221" spans="1:9">
      <c r="D221" s="451"/>
      <c r="E221" s="451"/>
      <c r="F221" s="451"/>
      <c r="I221" s="490"/>
    </row>
    <row r="222" spans="1:9">
      <c r="A222" s="1293" t="s">
        <v>1045</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1119</v>
      </c>
      <c r="E225" s="1291"/>
      <c r="F225" s="1291"/>
      <c r="I225" s="490"/>
    </row>
    <row r="226" spans="1:9" ht="12" customHeight="1">
      <c r="A226" s="490"/>
      <c r="B226" s="490"/>
      <c r="C226" s="490"/>
      <c r="I226" s="490"/>
    </row>
    <row r="227" spans="1:9" ht="13.7" customHeight="1">
      <c r="A227" s="490"/>
      <c r="C227" s="490"/>
      <c r="D227" s="1299" t="s">
        <v>546</v>
      </c>
      <c r="E227" s="1299"/>
      <c r="F227" s="1299"/>
      <c r="I227" s="490"/>
    </row>
    <row r="228" spans="1:9" ht="14.25">
      <c r="A228" s="484"/>
      <c r="B228" s="485" t="s">
        <v>2747</v>
      </c>
      <c r="D228" s="1290" t="s">
        <v>1741</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25">
      <c r="A231" s="484"/>
      <c r="B231" s="484"/>
      <c r="D231" s="1290"/>
      <c r="E231" s="1290"/>
      <c r="F231" s="1290"/>
      <c r="I231" s="490"/>
    </row>
    <row r="232" spans="1:9" ht="14.25">
      <c r="A232" s="484"/>
      <c r="B232" s="484"/>
      <c r="D232" s="445"/>
      <c r="E232" s="445"/>
      <c r="F232" s="445"/>
      <c r="I232" s="490"/>
    </row>
    <row r="233" spans="1:9" ht="14.25">
      <c r="A233" s="484"/>
      <c r="B233" s="485" t="s">
        <v>2747</v>
      </c>
      <c r="D233" s="1290" t="s">
        <v>1742</v>
      </c>
      <c r="E233" s="1290"/>
      <c r="F233" s="1290"/>
      <c r="I233" s="490"/>
    </row>
    <row r="234" spans="1:9" ht="14.25">
      <c r="A234" s="484"/>
      <c r="B234" s="484"/>
      <c r="D234" s="1290"/>
      <c r="E234" s="1290"/>
      <c r="F234" s="1290"/>
      <c r="I234" s="490"/>
    </row>
    <row r="235" spans="1:9" ht="14.25">
      <c r="A235" s="484"/>
      <c r="B235" s="484"/>
      <c r="D235" s="1290"/>
      <c r="E235" s="1290"/>
      <c r="F235" s="1290"/>
      <c r="I235" s="490"/>
    </row>
    <row r="236" spans="1:9" ht="14.25">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25">
      <c r="A239" s="484"/>
      <c r="B239" s="484"/>
      <c r="D239" s="1290" t="s">
        <v>1117</v>
      </c>
      <c r="E239" s="1290"/>
      <c r="F239" s="1290"/>
      <c r="I239" s="490"/>
    </row>
    <row r="240" spans="1:9" ht="14.25">
      <c r="A240" s="484"/>
      <c r="B240" s="484"/>
      <c r="D240" s="1290"/>
      <c r="E240" s="1290"/>
      <c r="F240" s="1290"/>
      <c r="I240" s="490"/>
    </row>
    <row r="241" spans="1:9" ht="14.25">
      <c r="A241" s="484"/>
      <c r="B241" s="484"/>
      <c r="D241" s="1290"/>
      <c r="E241" s="1290"/>
      <c r="F241" s="1290"/>
      <c r="I241" s="490"/>
    </row>
    <row r="242" spans="1:9" ht="14.25">
      <c r="A242" s="484"/>
      <c r="B242" s="484"/>
      <c r="D242" s="1290"/>
      <c r="E242" s="1290"/>
      <c r="F242" s="1290"/>
      <c r="I242" s="490"/>
    </row>
    <row r="243" spans="1:9" ht="14.25">
      <c r="A243" s="484"/>
      <c r="B243" s="484"/>
      <c r="D243" s="1290"/>
      <c r="E243" s="1290"/>
      <c r="F243" s="1290"/>
      <c r="I243" s="490"/>
    </row>
    <row r="244" spans="1:9" ht="14.25">
      <c r="A244" s="484"/>
      <c r="B244" s="484"/>
      <c r="D244" s="446"/>
      <c r="E244" s="446"/>
      <c r="F244" s="446"/>
      <c r="I244" s="490"/>
    </row>
    <row r="245" spans="1:9" ht="14.25">
      <c r="A245" s="484"/>
      <c r="B245" s="485" t="s">
        <v>2748</v>
      </c>
      <c r="D245" s="1290" t="s">
        <v>2012</v>
      </c>
      <c r="E245" s="1290"/>
      <c r="F245" s="1290"/>
      <c r="I245" s="490"/>
    </row>
    <row r="246" spans="1:9" ht="14.25">
      <c r="A246" s="484"/>
      <c r="B246" s="484"/>
      <c r="D246" s="1290"/>
      <c r="E246" s="1290"/>
      <c r="F246" s="1290"/>
      <c r="I246" s="490"/>
    </row>
    <row r="247" spans="1:9" ht="14.25">
      <c r="A247" s="484"/>
      <c r="B247" s="484"/>
      <c r="D247" s="1290"/>
      <c r="E247" s="1290"/>
      <c r="F247" s="1290"/>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2748</v>
      </c>
      <c r="D250" s="1290" t="s">
        <v>2013</v>
      </c>
      <c r="E250" s="1290"/>
      <c r="F250" s="1290"/>
      <c r="I250" s="490"/>
    </row>
    <row r="251" spans="1:9" ht="14.25">
      <c r="A251" s="484"/>
      <c r="B251" s="484"/>
      <c r="D251" s="1290"/>
      <c r="E251" s="1290"/>
      <c r="F251" s="1290"/>
      <c r="I251" s="490"/>
    </row>
    <row r="252" spans="1:9" ht="14.25">
      <c r="A252" s="484"/>
      <c r="B252" s="484"/>
      <c r="D252" s="1290"/>
      <c r="E252" s="1290"/>
      <c r="F252" s="1290"/>
      <c r="I252" s="490"/>
    </row>
    <row r="253" spans="1:9" ht="14.25">
      <c r="A253" s="484"/>
      <c r="B253" s="484"/>
      <c r="D253" s="1290"/>
      <c r="E253" s="1290"/>
      <c r="F253" s="1290"/>
      <c r="I253" s="490"/>
    </row>
    <row r="254" spans="1:9" ht="14.25">
      <c r="A254" s="484"/>
      <c r="B254" s="484"/>
      <c r="D254" s="1290"/>
      <c r="E254" s="1290"/>
      <c r="F254" s="1290"/>
      <c r="I254" s="490"/>
    </row>
    <row r="255" spans="1:9" ht="14.25">
      <c r="A255" s="484"/>
      <c r="B255" s="484"/>
      <c r="D255" s="445"/>
      <c r="E255" s="445"/>
      <c r="F255" s="445"/>
      <c r="I255" s="490"/>
    </row>
    <row r="256" spans="1:9" ht="14.25">
      <c r="A256" s="484"/>
      <c r="B256" s="485" t="s">
        <v>2747</v>
      </c>
      <c r="D256" s="392" t="s">
        <v>2014</v>
      </c>
      <c r="E256" s="445"/>
      <c r="F256" s="445"/>
      <c r="I256" s="490"/>
    </row>
    <row r="257" spans="1:9" ht="14.25">
      <c r="A257" s="484"/>
      <c r="B257" s="484"/>
      <c r="E257" s="1031" t="s">
        <v>1869</v>
      </c>
      <c r="I257" s="490"/>
    </row>
    <row r="258" spans="1:9">
      <c r="D258" s="446"/>
      <c r="E258" s="446"/>
      <c r="F258" s="446"/>
      <c r="I258" s="490"/>
    </row>
    <row r="259" spans="1:9" ht="14.25">
      <c r="A259" s="484"/>
      <c r="B259" s="485" t="s">
        <v>2747</v>
      </c>
      <c r="D259" s="1290" t="s">
        <v>1118</v>
      </c>
      <c r="E259" s="1290"/>
      <c r="F259" s="1290"/>
      <c r="I259" s="490"/>
    </row>
    <row r="260" spans="1:9" ht="14.25">
      <c r="A260" s="484"/>
      <c r="B260" s="484"/>
      <c r="D260" s="1290"/>
      <c r="E260" s="1290"/>
      <c r="F260" s="1290"/>
      <c r="I260" s="490"/>
    </row>
    <row r="261" spans="1:9">
      <c r="D261" s="491"/>
      <c r="I261" s="490"/>
    </row>
    <row r="262" spans="1:9">
      <c r="A262" s="1293" t="s">
        <v>1046</v>
      </c>
      <c r="B262" s="1293"/>
      <c r="C262" s="1293"/>
      <c r="D262" s="1293"/>
      <c r="E262" s="1293"/>
      <c r="F262" s="1293"/>
      <c r="G262" s="1293"/>
      <c r="H262" s="1023"/>
      <c r="I262" s="1147"/>
    </row>
    <row r="263" spans="1:9">
      <c r="D263" s="491"/>
      <c r="I263" s="490"/>
    </row>
    <row r="264" spans="1:9">
      <c r="C264" s="486"/>
      <c r="D264" s="1299" t="s">
        <v>1120</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45" customHeight="1">
      <c r="A267" s="484"/>
      <c r="B267" s="485" t="s">
        <v>2747</v>
      </c>
      <c r="D267" s="1290" t="s">
        <v>1195</v>
      </c>
      <c r="E267" s="1290"/>
      <c r="F267" s="1290"/>
      <c r="I267" s="490"/>
    </row>
    <row r="268" spans="1:9">
      <c r="D268" s="1290"/>
      <c r="E268" s="1290"/>
      <c r="F268" s="1290"/>
      <c r="I268" s="490"/>
    </row>
    <row r="269" spans="1:9">
      <c r="E269" s="1031" t="s">
        <v>1870</v>
      </c>
      <c r="I269" s="490"/>
    </row>
    <row r="270" spans="1:9">
      <c r="D270" s="446"/>
      <c r="E270" s="446"/>
      <c r="F270" s="446"/>
      <c r="I270" s="490"/>
    </row>
    <row r="271" spans="1:9" ht="14.45" customHeight="1">
      <c r="A271" s="484"/>
      <c r="B271" s="485" t="s">
        <v>2748</v>
      </c>
      <c r="D271" s="1290" t="s">
        <v>2015</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25">
      <c r="A278" s="484"/>
      <c r="B278" s="485" t="s">
        <v>2748</v>
      </c>
      <c r="D278" s="1290" t="s">
        <v>1121</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1047</v>
      </c>
      <c r="B282" s="1293"/>
      <c r="C282" s="1293"/>
      <c r="D282" s="1293"/>
      <c r="E282" s="1293"/>
      <c r="F282" s="1293"/>
      <c r="G282" s="1293"/>
      <c r="H282" s="1023"/>
      <c r="I282" s="1147"/>
    </row>
    <row r="283" spans="1:9">
      <c r="D283" s="492"/>
      <c r="E283" s="446"/>
      <c r="F283" s="446"/>
      <c r="I283" s="490"/>
    </row>
    <row r="284" spans="1:9">
      <c r="C284" s="482"/>
      <c r="D284" s="1292" t="s">
        <v>1122</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1123</v>
      </c>
      <c r="E288" s="1302"/>
      <c r="F288" s="1302"/>
      <c r="I288" s="490"/>
    </row>
    <row r="289" spans="1:9">
      <c r="E289" s="446"/>
      <c r="F289" s="446"/>
      <c r="I289" s="490"/>
    </row>
    <row r="290" spans="1:9" ht="14.25">
      <c r="A290" s="484"/>
      <c r="B290" s="485" t="s">
        <v>2748</v>
      </c>
      <c r="D290" s="1290" t="s">
        <v>1124</v>
      </c>
      <c r="E290" s="1290"/>
      <c r="F290" s="1290"/>
      <c r="I290" s="490"/>
    </row>
    <row r="291" spans="1:9" ht="14.25">
      <c r="A291" s="484"/>
      <c r="B291" s="484"/>
      <c r="D291" s="1290"/>
      <c r="E291" s="1290"/>
      <c r="F291" s="1290"/>
      <c r="I291" s="490"/>
    </row>
    <row r="292" spans="1:9">
      <c r="D292" s="446"/>
      <c r="E292" s="446"/>
      <c r="F292" s="446"/>
      <c r="I292" s="490"/>
    </row>
    <row r="293" spans="1:9" ht="14.25">
      <c r="A293" s="484"/>
      <c r="B293" s="485" t="s">
        <v>2748</v>
      </c>
      <c r="D293" s="1290" t="s">
        <v>1125</v>
      </c>
      <c r="E293" s="1290"/>
      <c r="F293" s="1290"/>
      <c r="I293" s="490"/>
    </row>
    <row r="294" spans="1:9" ht="14.25">
      <c r="A294" s="484"/>
      <c r="B294" s="484"/>
      <c r="D294" s="1290"/>
      <c r="E294" s="1290"/>
      <c r="F294" s="1290"/>
      <c r="I294" s="490"/>
    </row>
    <row r="295" spans="1:9" ht="14.25">
      <c r="A295" s="484"/>
      <c r="B295" s="484"/>
      <c r="D295" s="1290"/>
      <c r="E295" s="1290"/>
      <c r="F295" s="1290"/>
      <c r="I295" s="490"/>
    </row>
    <row r="296" spans="1:9">
      <c r="D296" s="446"/>
      <c r="E296" s="446"/>
      <c r="F296" s="446"/>
      <c r="I296" s="490"/>
    </row>
    <row r="297" spans="1:9" ht="14.25">
      <c r="A297" s="484"/>
      <c r="B297" s="485" t="s">
        <v>2748</v>
      </c>
      <c r="D297" s="1290" t="s">
        <v>1126</v>
      </c>
      <c r="E297" s="1290"/>
      <c r="F297" s="1290"/>
      <c r="I297" s="490"/>
    </row>
    <row r="298" spans="1:9" ht="14.25">
      <c r="A298" s="484"/>
      <c r="B298" s="484"/>
      <c r="D298" s="1290"/>
      <c r="E298" s="1290"/>
      <c r="F298" s="1290"/>
      <c r="I298" s="490"/>
    </row>
    <row r="299" spans="1:9">
      <c r="A299" s="490"/>
      <c r="B299" s="490"/>
      <c r="E299" s="446"/>
      <c r="F299" s="446"/>
      <c r="I299" s="490"/>
    </row>
    <row r="300" spans="1:9">
      <c r="A300" s="1293" t="s">
        <v>1048</v>
      </c>
      <c r="B300" s="1293"/>
      <c r="C300" s="1293"/>
      <c r="D300" s="1293"/>
      <c r="E300" s="1293"/>
      <c r="F300" s="1293"/>
      <c r="G300" s="1293"/>
      <c r="H300" s="1023"/>
      <c r="I300" s="1147"/>
    </row>
    <row r="301" spans="1:9">
      <c r="A301" s="490"/>
      <c r="B301" s="490"/>
      <c r="D301" s="446"/>
      <c r="E301" s="446"/>
      <c r="F301" s="446"/>
      <c r="I301" s="490"/>
    </row>
    <row r="302" spans="1:9">
      <c r="C302" s="490"/>
      <c r="D302" s="1299" t="s">
        <v>682</v>
      </c>
      <c r="E302" s="1299"/>
      <c r="F302" s="1299"/>
      <c r="I302" s="490"/>
    </row>
    <row r="303" spans="1:9">
      <c r="C303" s="490"/>
      <c r="D303" s="1291" t="s">
        <v>1127</v>
      </c>
      <c r="E303" s="1291"/>
      <c r="F303" s="1291"/>
      <c r="I303" s="490"/>
    </row>
    <row r="304" spans="1:9">
      <c r="C304" s="490"/>
      <c r="D304" s="493"/>
      <c r="I304" s="490"/>
    </row>
    <row r="305" spans="1:9">
      <c r="B305" s="485" t="s">
        <v>2748</v>
      </c>
      <c r="D305" s="1291" t="s">
        <v>1128</v>
      </c>
      <c r="E305" s="1291"/>
      <c r="F305" s="1291"/>
      <c r="I305" s="490"/>
    </row>
    <row r="306" spans="1:9" ht="14.25">
      <c r="A306" s="484"/>
      <c r="B306" s="484"/>
      <c r="D306" s="494"/>
      <c r="E306" s="495"/>
      <c r="F306" s="495"/>
      <c r="I306" s="490"/>
    </row>
    <row r="307" spans="1:9" ht="13.7" customHeight="1">
      <c r="B307" s="485" t="s">
        <v>2748</v>
      </c>
      <c r="D307" s="1314" t="s">
        <v>1218</v>
      </c>
      <c r="E307" s="1314"/>
      <c r="F307" s="1314"/>
      <c r="I307" s="490"/>
    </row>
    <row r="308" spans="1:9" ht="14.25">
      <c r="A308" s="484"/>
      <c r="B308" s="484"/>
      <c r="D308" s="1314"/>
      <c r="E308" s="1314"/>
      <c r="F308" s="1314"/>
      <c r="I308" s="490"/>
    </row>
    <row r="309" spans="1:9" ht="14.25">
      <c r="A309" s="484"/>
      <c r="B309" s="484"/>
      <c r="D309" s="1314"/>
      <c r="E309" s="1314"/>
      <c r="F309" s="1314"/>
      <c r="I309" s="490"/>
    </row>
    <row r="310" spans="1:9" ht="14.25">
      <c r="A310" s="484"/>
      <c r="B310" s="484"/>
      <c r="D310" s="1314"/>
      <c r="E310" s="1314"/>
      <c r="F310" s="1314"/>
      <c r="I310" s="490"/>
    </row>
    <row r="311" spans="1:9" ht="14.25">
      <c r="A311" s="484"/>
      <c r="B311" s="484"/>
      <c r="D311" s="1314"/>
      <c r="E311" s="1314"/>
      <c r="F311" s="1314"/>
      <c r="I311" s="490"/>
    </row>
    <row r="312" spans="1:9" ht="14.25">
      <c r="A312" s="484"/>
      <c r="B312" s="484"/>
      <c r="D312" s="494"/>
      <c r="E312" s="495"/>
      <c r="F312" s="495"/>
      <c r="I312" s="490"/>
    </row>
    <row r="313" spans="1:9" ht="13.7" customHeight="1">
      <c r="B313" s="485" t="s">
        <v>2748</v>
      </c>
      <c r="D313" s="1314" t="s">
        <v>1129</v>
      </c>
      <c r="E313" s="1314"/>
      <c r="F313" s="1314"/>
      <c r="I313" s="490"/>
    </row>
    <row r="314" spans="1:9">
      <c r="D314" s="1314"/>
      <c r="E314" s="1314"/>
      <c r="F314" s="1314"/>
      <c r="I314" s="490"/>
    </row>
    <row r="315" spans="1:9" ht="14.25">
      <c r="A315" s="484"/>
      <c r="B315" s="484"/>
      <c r="D315" s="494"/>
      <c r="E315" s="495"/>
      <c r="F315" s="495"/>
      <c r="I315" s="490"/>
    </row>
    <row r="316" spans="1:9">
      <c r="B316" s="485" t="s">
        <v>2748</v>
      </c>
      <c r="D316" s="1291" t="s">
        <v>1130</v>
      </c>
      <c r="E316" s="1291"/>
      <c r="F316" s="1291"/>
      <c r="I316" s="490"/>
    </row>
    <row r="317" spans="1:9">
      <c r="E317" s="446"/>
      <c r="F317" s="446"/>
      <c r="I317" s="490"/>
    </row>
    <row r="318" spans="1:9" ht="14.25">
      <c r="A318" s="484"/>
      <c r="B318" s="485" t="s">
        <v>2748</v>
      </c>
      <c r="D318" s="1290" t="s">
        <v>2198</v>
      </c>
      <c r="E318" s="1290"/>
      <c r="F318" s="1290"/>
      <c r="I318" s="490"/>
    </row>
    <row r="319" spans="1:9" ht="14.25">
      <c r="A319" s="484"/>
      <c r="B319" s="484"/>
      <c r="D319" s="1290"/>
      <c r="E319" s="1290"/>
      <c r="F319" s="1290"/>
      <c r="I319" s="490"/>
    </row>
    <row r="320" spans="1:9" ht="14.25">
      <c r="A320" s="484"/>
      <c r="B320" s="484"/>
      <c r="D320" s="1290"/>
      <c r="E320" s="1290"/>
      <c r="F320" s="1290"/>
      <c r="I320" s="490"/>
    </row>
    <row r="321" spans="1:9" ht="14.25">
      <c r="A321" s="484"/>
      <c r="B321" s="484"/>
      <c r="D321" s="1290"/>
      <c r="E321" s="1290"/>
      <c r="F321" s="1290"/>
      <c r="I321" s="490"/>
    </row>
    <row r="322" spans="1:9" ht="14.25">
      <c r="A322" s="484"/>
      <c r="B322" s="484"/>
      <c r="D322" s="1290"/>
      <c r="E322" s="1290"/>
      <c r="F322" s="1290"/>
      <c r="I322" s="490"/>
    </row>
    <row r="323" spans="1:9" ht="14.25">
      <c r="A323" s="484"/>
      <c r="B323" s="484"/>
      <c r="D323" s="1290"/>
      <c r="E323" s="1290"/>
      <c r="F323" s="1290"/>
      <c r="I323" s="490"/>
    </row>
    <row r="324" spans="1:9" ht="14.25">
      <c r="A324" s="484"/>
      <c r="B324" s="484"/>
      <c r="D324" s="1290"/>
      <c r="E324" s="1290"/>
      <c r="F324" s="1290"/>
      <c r="I324" s="490"/>
    </row>
    <row r="325" spans="1:9" ht="14.25">
      <c r="A325" s="484"/>
      <c r="B325" s="484"/>
      <c r="D325" s="1290"/>
      <c r="E325" s="1290"/>
      <c r="F325" s="1290"/>
      <c r="I325" s="490"/>
    </row>
    <row r="326" spans="1:9" ht="14.25">
      <c r="A326" s="484"/>
      <c r="B326" s="484"/>
      <c r="D326" s="1290"/>
      <c r="E326" s="1290"/>
      <c r="F326" s="1290"/>
      <c r="I326" s="490"/>
    </row>
    <row r="327" spans="1:9" ht="14.25">
      <c r="A327" s="484"/>
      <c r="B327" s="484"/>
      <c r="D327" s="1290"/>
      <c r="E327" s="1290"/>
      <c r="F327" s="1290"/>
      <c r="I327" s="490"/>
    </row>
    <row r="328" spans="1:9" ht="14.25">
      <c r="A328" s="484"/>
      <c r="B328" s="484"/>
      <c r="D328" s="1290"/>
      <c r="E328" s="1290"/>
      <c r="F328" s="1290"/>
      <c r="I328" s="490"/>
    </row>
    <row r="329" spans="1:9" ht="14.25">
      <c r="A329" s="484"/>
      <c r="B329" s="484"/>
      <c r="D329" s="1290"/>
      <c r="E329" s="1290"/>
      <c r="F329" s="1290"/>
      <c r="I329" s="490"/>
    </row>
    <row r="330" spans="1:9" ht="14.25">
      <c r="A330" s="484"/>
      <c r="B330" s="484"/>
      <c r="D330" s="1290"/>
      <c r="E330" s="1290"/>
      <c r="F330" s="1290"/>
      <c r="I330" s="490"/>
    </row>
    <row r="331" spans="1:9" ht="14.25">
      <c r="A331" s="484"/>
      <c r="B331" s="484"/>
      <c r="D331" s="1290"/>
      <c r="E331" s="1290"/>
      <c r="F331" s="1290"/>
      <c r="I331" s="490"/>
    </row>
    <row r="332" spans="1:9" ht="14.25">
      <c r="A332" s="484"/>
      <c r="B332" s="484"/>
      <c r="D332" s="1290"/>
      <c r="E332" s="1290"/>
      <c r="F332" s="1290"/>
      <c r="I332" s="490"/>
    </row>
    <row r="333" spans="1:9">
      <c r="D333" s="446"/>
      <c r="E333" s="446"/>
      <c r="F333" s="446"/>
      <c r="I333" s="490"/>
    </row>
    <row r="334" spans="1:9" ht="14.25">
      <c r="A334" s="484"/>
      <c r="B334" s="485" t="s">
        <v>2748</v>
      </c>
      <c r="D334" s="1290" t="s">
        <v>1131</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2748</v>
      </c>
      <c r="D344" s="1290" t="s">
        <v>1875</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23" t="s">
        <v>978</v>
      </c>
      <c r="E351" s="1323"/>
      <c r="F351" s="1323"/>
      <c r="G351" s="1022"/>
      <c r="H351" s="1022"/>
      <c r="I351" s="1150"/>
    </row>
    <row r="352" spans="1:9" ht="13.5" thickTop="1">
      <c r="D352" s="1322" t="s">
        <v>2199</v>
      </c>
      <c r="E352" s="1322"/>
      <c r="F352" s="1322"/>
      <c r="I352" s="490"/>
    </row>
    <row r="353" spans="1:9">
      <c r="D353" s="446"/>
      <c r="E353" s="446"/>
      <c r="F353" s="446"/>
      <c r="I353" s="490"/>
    </row>
    <row r="354" spans="1:9">
      <c r="A354" s="476"/>
      <c r="B354" s="476"/>
      <c r="C354" s="476"/>
      <c r="D354" s="447"/>
      <c r="E354" s="447"/>
      <c r="F354" s="446"/>
      <c r="I354" s="490"/>
    </row>
    <row r="355" spans="1:9" ht="14.25">
      <c r="A355" s="484"/>
      <c r="B355" s="485" t="s">
        <v>2748</v>
      </c>
      <c r="C355" s="487"/>
      <c r="D355" s="1291" t="s">
        <v>1873</v>
      </c>
      <c r="E355" s="1291"/>
      <c r="F355" s="1291"/>
      <c r="I355" s="490"/>
    </row>
    <row r="356" spans="1:9" ht="12.75" customHeight="1">
      <c r="D356" s="1032"/>
      <c r="E356" s="96" t="s">
        <v>1872</v>
      </c>
      <c r="F356" s="1032"/>
      <c r="I356" s="490"/>
    </row>
    <row r="357" spans="1:9">
      <c r="D357" s="1290" t="s">
        <v>1238</v>
      </c>
      <c r="E357" s="1290"/>
      <c r="F357" s="1290"/>
      <c r="I357" s="490"/>
    </row>
    <row r="358" spans="1:9">
      <c r="D358" s="1290"/>
      <c r="E358" s="1290"/>
      <c r="F358" s="1290"/>
      <c r="I358" s="490"/>
    </row>
    <row r="359" spans="1:9">
      <c r="D359" s="1290"/>
      <c r="E359" s="1290"/>
      <c r="F359" s="1290"/>
      <c r="I359" s="490"/>
    </row>
    <row r="360" spans="1:9" ht="14.25">
      <c r="A360" s="484"/>
      <c r="B360" s="485" t="s">
        <v>2748</v>
      </c>
      <c r="C360" s="476"/>
      <c r="D360" s="1304" t="s">
        <v>2016</v>
      </c>
      <c r="E360" s="1304"/>
      <c r="F360" s="1304"/>
      <c r="I360" s="480"/>
    </row>
    <row r="361" spans="1:9">
      <c r="A361" s="476"/>
      <c r="B361" s="476"/>
      <c r="C361" s="476"/>
      <c r="D361" s="447"/>
      <c r="E361" s="447"/>
      <c r="F361" s="446"/>
      <c r="I361" s="490"/>
    </row>
    <row r="362" spans="1:9">
      <c r="A362" s="476"/>
      <c r="B362" s="485" t="s">
        <v>2748</v>
      </c>
      <c r="C362" s="476"/>
      <c r="D362" s="1269" t="s">
        <v>2017</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 customHeight="1">
      <c r="A375" s="476"/>
      <c r="B375" s="485" t="s">
        <v>2748</v>
      </c>
      <c r="C375" s="476"/>
      <c r="D375" s="1286" t="s">
        <v>1220</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2748</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2748</v>
      </c>
      <c r="C387" s="476"/>
      <c r="D387" s="1269" t="s">
        <v>1132</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1133</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 customHeight="1">
      <c r="A401" s="476"/>
      <c r="B401" s="476"/>
      <c r="C401" s="476"/>
      <c r="D401" s="1269" t="s">
        <v>1134</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2748</v>
      </c>
      <c r="C420" s="476"/>
      <c r="D420" s="1269" t="s">
        <v>1135</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5" customHeight="1">
      <c r="A423" s="484"/>
      <c r="B423" s="485" t="s">
        <v>2748</v>
      </c>
      <c r="D423" s="1269" t="s">
        <v>1855</v>
      </c>
      <c r="E423" s="1269"/>
      <c r="F423" s="1269"/>
      <c r="I423" s="490"/>
    </row>
    <row r="424" spans="1:9" ht="14.45" customHeight="1">
      <c r="A424" s="484"/>
      <c r="D424" s="1269"/>
      <c r="E424" s="1269"/>
      <c r="F424" s="1269"/>
      <c r="I424" s="490"/>
    </row>
    <row r="425" spans="1:9" ht="14.45" customHeight="1">
      <c r="A425" s="484"/>
      <c r="D425" s="1269"/>
      <c r="E425" s="1269"/>
      <c r="F425" s="1269"/>
      <c r="I425" s="490"/>
    </row>
    <row r="426" spans="1:9" ht="14.45" customHeight="1">
      <c r="A426" s="484"/>
      <c r="D426" s="1269"/>
      <c r="E426" s="1269"/>
      <c r="F426" s="1269"/>
      <c r="I426" s="490"/>
    </row>
    <row r="427" spans="1:9" ht="14.45" customHeight="1">
      <c r="A427" s="484"/>
      <c r="D427" s="1269"/>
      <c r="E427" s="1269"/>
      <c r="F427" s="1269"/>
      <c r="I427" s="490"/>
    </row>
    <row r="428" spans="1:9" ht="14.45" customHeight="1">
      <c r="A428" s="484"/>
      <c r="D428" s="385"/>
      <c r="E428" s="385"/>
      <c r="F428" s="385"/>
      <c r="I428" s="490"/>
    </row>
    <row r="429" spans="1:9" ht="13.7" customHeight="1">
      <c r="A429" s="484"/>
      <c r="B429" s="485" t="s">
        <v>2748</v>
      </c>
      <c r="C429" s="476"/>
      <c r="D429" s="1269" t="s">
        <v>1239</v>
      </c>
      <c r="E429" s="1269"/>
      <c r="F429" s="1269"/>
      <c r="I429" s="490"/>
    </row>
    <row r="430" spans="1:9" ht="14.25">
      <c r="A430" s="497"/>
      <c r="B430" s="497"/>
      <c r="C430" s="476"/>
      <c r="D430" s="1269"/>
      <c r="E430" s="1269"/>
      <c r="F430" s="1269"/>
      <c r="I430" s="490"/>
    </row>
    <row r="431" spans="1:9" ht="14.25">
      <c r="A431" s="497"/>
      <c r="B431" s="497"/>
      <c r="C431" s="476"/>
      <c r="D431" s="1269"/>
      <c r="E431" s="1269"/>
      <c r="F431" s="1269"/>
      <c r="I431" s="490"/>
    </row>
    <row r="432" spans="1:9" ht="14.25">
      <c r="A432" s="497"/>
      <c r="B432" s="497"/>
      <c r="C432" s="476"/>
      <c r="D432" s="1269"/>
      <c r="E432" s="1269"/>
      <c r="F432" s="1269"/>
      <c r="I432" s="490"/>
    </row>
    <row r="433" spans="1:9" ht="15.75" customHeight="1">
      <c r="A433" s="497"/>
      <c r="B433" s="497"/>
      <c r="C433" s="476"/>
      <c r="D433" s="1296" t="s">
        <v>2613</v>
      </c>
      <c r="E433" s="1269"/>
      <c r="F433" s="1269"/>
      <c r="I433" s="490"/>
    </row>
    <row r="434" spans="1:9">
      <c r="D434" s="446"/>
      <c r="E434" s="446"/>
      <c r="F434" s="446"/>
      <c r="I434" s="490"/>
    </row>
    <row r="435" spans="1:9" ht="14.25">
      <c r="A435" s="484"/>
      <c r="B435" s="485" t="s">
        <v>2748</v>
      </c>
      <c r="C435" s="487"/>
      <c r="D435" s="1290" t="s">
        <v>2018</v>
      </c>
      <c r="E435" s="1290"/>
      <c r="F435" s="1290"/>
      <c r="I435" s="490"/>
    </row>
    <row r="436" spans="1:9" ht="14.25">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00000000000003" customHeight="1">
      <c r="D465" s="1290"/>
      <c r="E465" s="1290"/>
      <c r="F465" s="1290"/>
      <c r="I465" s="490"/>
    </row>
    <row r="466" spans="1:9">
      <c r="D466" s="446"/>
      <c r="E466" s="446"/>
      <c r="F466" s="446"/>
      <c r="I466" s="490"/>
    </row>
    <row r="467" spans="1:9" ht="14.25">
      <c r="A467" s="484"/>
      <c r="B467" s="485" t="s">
        <v>2748</v>
      </c>
      <c r="C467" s="487"/>
      <c r="D467" s="1290" t="s">
        <v>1136</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25">
      <c r="B471" s="485" t="s">
        <v>2748</v>
      </c>
      <c r="C471" s="484"/>
      <c r="D471" s="1290" t="s">
        <v>1196</v>
      </c>
      <c r="E471" s="1290"/>
      <c r="F471" s="1290"/>
      <c r="I471" s="490"/>
    </row>
    <row r="472" spans="1:9">
      <c r="D472" s="1290"/>
      <c r="E472" s="1290"/>
      <c r="F472" s="1290"/>
      <c r="I472" s="490"/>
    </row>
    <row r="473" spans="1:9">
      <c r="D473" s="446"/>
      <c r="E473" s="446"/>
      <c r="F473" s="446"/>
      <c r="I473" s="490"/>
    </row>
    <row r="474" spans="1:9" ht="14.25">
      <c r="B474" s="485" t="s">
        <v>2748</v>
      </c>
      <c r="C474" s="484"/>
      <c r="D474" s="1290" t="s">
        <v>1137</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2748</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2748</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2748</v>
      </c>
      <c r="C486" s="402"/>
      <c r="D486" s="1290"/>
      <c r="E486" s="1290"/>
      <c r="F486" s="1290"/>
      <c r="I486" s="490"/>
    </row>
    <row r="487" spans="1:9">
      <c r="A487" s="402"/>
      <c r="C487" s="402"/>
      <c r="D487" s="1290"/>
      <c r="E487" s="1290"/>
      <c r="F487" s="1290"/>
      <c r="I487" s="490"/>
    </row>
    <row r="488" spans="1:9">
      <c r="A488" s="402"/>
      <c r="B488" s="485" t="s">
        <v>2748</v>
      </c>
      <c r="C488" s="402"/>
      <c r="D488" s="1290" t="s">
        <v>1138</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2748</v>
      </c>
      <c r="D494" s="1291" t="s">
        <v>1139</v>
      </c>
      <c r="E494" s="1291"/>
      <c r="F494" s="1291"/>
      <c r="I494" s="490"/>
    </row>
    <row r="495" spans="1:9">
      <c r="A495" s="446"/>
      <c r="B495" s="446"/>
      <c r="I495" s="490"/>
    </row>
    <row r="496" spans="1:9">
      <c r="A496" s="1293" t="s">
        <v>1049</v>
      </c>
      <c r="B496" s="1293"/>
      <c r="C496" s="1293"/>
      <c r="D496" s="1293"/>
      <c r="E496" s="1293"/>
      <c r="F496" s="1293"/>
      <c r="G496" s="1293"/>
      <c r="H496" s="1023"/>
      <c r="I496" s="1147"/>
    </row>
    <row r="497" spans="1:9">
      <c r="A497" s="446"/>
      <c r="B497" s="446"/>
      <c r="I497" s="490"/>
    </row>
    <row r="498" spans="1:9">
      <c r="D498" s="1303" t="s">
        <v>883</v>
      </c>
      <c r="E498" s="1303"/>
      <c r="F498" s="1303"/>
      <c r="I498" s="490"/>
    </row>
    <row r="499" spans="1:9" ht="14.25">
      <c r="A499" s="484"/>
      <c r="B499" s="484"/>
      <c r="D499" s="1304" t="s">
        <v>1140</v>
      </c>
      <c r="E499" s="1304"/>
      <c r="F499" s="1304"/>
      <c r="I499" s="490"/>
    </row>
    <row r="500" spans="1:9" ht="14.25">
      <c r="A500" s="484"/>
      <c r="B500" s="484"/>
      <c r="D500" s="447"/>
      <c r="I500" s="490"/>
    </row>
    <row r="501" spans="1:9" ht="14.25">
      <c r="A501" s="484"/>
      <c r="B501" s="485" t="s">
        <v>2748</v>
      </c>
      <c r="D501" s="1269" t="s">
        <v>1141</v>
      </c>
      <c r="E501" s="1269"/>
      <c r="F501" s="1269"/>
      <c r="I501" s="490"/>
    </row>
    <row r="502" spans="1:9" ht="14.25">
      <c r="A502" s="484"/>
      <c r="B502" s="484"/>
      <c r="D502" s="1269"/>
      <c r="E502" s="1269"/>
      <c r="F502" s="1269"/>
      <c r="I502" s="490"/>
    </row>
    <row r="503" spans="1:9" ht="14.25">
      <c r="A503" s="484"/>
      <c r="B503" s="484"/>
      <c r="D503" s="446"/>
      <c r="I503" s="490"/>
    </row>
    <row r="504" spans="1:9" ht="12.75" customHeight="1">
      <c r="B504" s="485" t="s">
        <v>2748</v>
      </c>
      <c r="D504" s="1294" t="s">
        <v>1272</v>
      </c>
      <c r="E504" s="1294"/>
      <c r="F504" s="1294"/>
      <c r="I504" s="490"/>
    </row>
    <row r="505" spans="1:9" ht="14.25">
      <c r="A505" s="484"/>
      <c r="D505" s="1294"/>
      <c r="E505" s="1294"/>
      <c r="F505" s="1294"/>
      <c r="I505" s="490"/>
    </row>
    <row r="506" spans="1:9" ht="14.25">
      <c r="A506" s="484"/>
      <c r="B506" s="484"/>
      <c r="D506" s="1294"/>
      <c r="E506" s="1294"/>
      <c r="F506" s="1294"/>
      <c r="I506" s="490"/>
    </row>
    <row r="507" spans="1:9" ht="14.25">
      <c r="A507" s="484"/>
      <c r="B507" s="484"/>
      <c r="D507" s="1294"/>
      <c r="E507" s="1294"/>
      <c r="F507" s="1294"/>
      <c r="I507" s="490"/>
    </row>
    <row r="508" spans="1:9" ht="14.25">
      <c r="A508" s="484"/>
      <c r="D508" s="520"/>
      <c r="E508" s="520"/>
      <c r="F508" s="520"/>
      <c r="I508" s="490"/>
    </row>
    <row r="509" spans="1:9" ht="14.25">
      <c r="A509" s="484"/>
      <c r="B509" s="485" t="s">
        <v>2748</v>
      </c>
      <c r="D509" s="1291" t="s">
        <v>1142</v>
      </c>
      <c r="E509" s="1291"/>
      <c r="F509" s="1291"/>
      <c r="I509" s="490"/>
    </row>
    <row r="510" spans="1:9" ht="14.25">
      <c r="A510" s="484"/>
      <c r="B510" s="484"/>
      <c r="D510" s="446"/>
      <c r="I510" s="490"/>
    </row>
    <row r="511" spans="1:9" ht="14.25">
      <c r="A511" s="484"/>
      <c r="B511" s="485" t="s">
        <v>2748</v>
      </c>
      <c r="D511" s="1290" t="s">
        <v>1143</v>
      </c>
      <c r="E511" s="1290"/>
      <c r="F511" s="1290"/>
      <c r="I511" s="490"/>
    </row>
    <row r="512" spans="1:9" ht="14.25">
      <c r="A512" s="484"/>
      <c r="D512" s="1290"/>
      <c r="E512" s="1290"/>
      <c r="F512" s="1290"/>
      <c r="I512" s="490"/>
    </row>
    <row r="513" spans="1:9">
      <c r="A513" s="490"/>
      <c r="B513" s="490"/>
      <c r="D513" s="447"/>
      <c r="I513" s="490"/>
    </row>
    <row r="514" spans="1:9">
      <c r="A514" s="490"/>
      <c r="B514" s="485" t="s">
        <v>2748</v>
      </c>
      <c r="D514" s="1291" t="s">
        <v>1144</v>
      </c>
      <c r="E514" s="1291"/>
      <c r="F514" s="1291"/>
      <c r="I514" s="490"/>
    </row>
    <row r="515" spans="1:9">
      <c r="D515" s="446"/>
      <c r="E515" s="446"/>
      <c r="F515" s="446"/>
      <c r="I515" s="490"/>
    </row>
    <row r="516" spans="1:9">
      <c r="B516" s="485" t="s">
        <v>2748</v>
      </c>
      <c r="D516" s="1290" t="s">
        <v>2222</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25">
      <c r="A520" s="484"/>
      <c r="B520" s="484"/>
      <c r="D520" s="446"/>
      <c r="I520" s="490"/>
    </row>
    <row r="521" spans="1:9">
      <c r="A521" s="1293" t="s">
        <v>1050</v>
      </c>
      <c r="B521" s="1293"/>
      <c r="C521" s="1293"/>
      <c r="D521" s="1293"/>
      <c r="E521" s="1293"/>
      <c r="F521" s="1293"/>
      <c r="G521" s="1293"/>
      <c r="H521" s="1023"/>
      <c r="I521" s="1147"/>
    </row>
    <row r="522" spans="1:9" ht="12" customHeight="1">
      <c r="A522" s="484"/>
      <c r="B522" s="484"/>
      <c r="D522" s="446"/>
      <c r="I522" s="490"/>
    </row>
    <row r="523" spans="1:9">
      <c r="C523" s="482"/>
      <c r="D523" s="1299" t="s">
        <v>793</v>
      </c>
      <c r="E523" s="1299"/>
      <c r="F523" s="129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2747</v>
      </c>
      <c r="C527" s="483"/>
      <c r="D527" s="1269" t="s">
        <v>2019</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2747</v>
      </c>
      <c r="D530" s="386" t="s">
        <v>1876</v>
      </c>
      <c r="E530" s="385"/>
      <c r="F530" s="385"/>
      <c r="I530" s="490"/>
    </row>
    <row r="531" spans="1:9">
      <c r="A531" s="483"/>
      <c r="B531" s="483"/>
      <c r="C531" s="483"/>
      <c r="D531" s="385"/>
      <c r="E531" s="96" t="s">
        <v>1877</v>
      </c>
      <c r="I531" s="490"/>
    </row>
    <row r="532" spans="1:9">
      <c r="A532" s="483"/>
      <c r="B532" s="483"/>
      <c r="D532" s="1286" t="s">
        <v>2020</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2747</v>
      </c>
      <c r="C536" s="483"/>
      <c r="D536" s="1290" t="s">
        <v>2637</v>
      </c>
      <c r="E536" s="1290"/>
      <c r="F536" s="1290"/>
      <c r="I536" s="490"/>
    </row>
    <row r="537" spans="1:9" ht="13.1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1051</v>
      </c>
      <c r="B540" s="1293"/>
      <c r="C540" s="1293"/>
      <c r="D540" s="1293"/>
      <c r="E540" s="1293"/>
      <c r="F540" s="1293"/>
      <c r="G540" s="1293"/>
      <c r="H540" s="1023"/>
      <c r="I540" s="1147"/>
    </row>
    <row r="541" spans="1:9">
      <c r="A541" s="446"/>
      <c r="B541" s="446"/>
      <c r="C541" s="487"/>
      <c r="F541" s="448"/>
      <c r="I541" s="490"/>
    </row>
    <row r="542" spans="1:9">
      <c r="B542" s="1297" t="s">
        <v>446</v>
      </c>
      <c r="C542" s="1297"/>
      <c r="D542" s="1297"/>
      <c r="E542" s="1297"/>
      <c r="F542" s="1297"/>
      <c r="I542" s="490"/>
    </row>
    <row r="543" spans="1:9">
      <c r="A543" s="446"/>
      <c r="B543" s="446"/>
      <c r="C543" s="487"/>
      <c r="D543" s="446"/>
      <c r="F543" s="446"/>
      <c r="I543" s="490"/>
    </row>
    <row r="544" spans="1:9">
      <c r="A544" s="1298" t="s">
        <v>1052</v>
      </c>
      <c r="B544" s="1298"/>
      <c r="C544" s="1298"/>
      <c r="D544" s="1298"/>
      <c r="E544" s="1298"/>
      <c r="F544" s="1298"/>
      <c r="G544" s="1298"/>
      <c r="H544" s="1023"/>
      <c r="I544" s="1147"/>
    </row>
    <row r="545" spans="1:9">
      <c r="A545" s="446"/>
      <c r="B545" s="446"/>
      <c r="C545" s="487"/>
      <c r="D545" s="446"/>
      <c r="F545" s="446"/>
      <c r="I545" s="490"/>
    </row>
    <row r="546" spans="1:9">
      <c r="C546" s="487"/>
      <c r="D546" s="1299" t="s">
        <v>683</v>
      </c>
      <c r="E546" s="1299"/>
      <c r="F546" s="1299"/>
      <c r="I546" s="490"/>
    </row>
    <row r="547" spans="1:9">
      <c r="C547" s="487"/>
      <c r="D547" s="1291" t="s">
        <v>1080</v>
      </c>
      <c r="E547" s="1291"/>
      <c r="F547" s="1291"/>
      <c r="I547" s="490"/>
    </row>
    <row r="548" spans="1:9">
      <c r="C548" s="487"/>
      <c r="D548" s="446"/>
      <c r="E548" s="446"/>
      <c r="F548" s="446"/>
      <c r="I548" s="490"/>
    </row>
    <row r="549" spans="1:9" ht="13.7" customHeight="1">
      <c r="A549" s="484"/>
      <c r="B549" s="485" t="s">
        <v>2747</v>
      </c>
      <c r="C549" s="487"/>
      <c r="D549" s="1291" t="s">
        <v>884</v>
      </c>
      <c r="E549" s="1291"/>
      <c r="F549" s="1291"/>
      <c r="I549" s="490"/>
    </row>
    <row r="550" spans="1:9" ht="13.7" customHeight="1">
      <c r="A550" s="487"/>
      <c r="B550" s="487"/>
      <c r="C550" s="487"/>
      <c r="D550" s="446"/>
      <c r="I550" s="490"/>
    </row>
    <row r="551" spans="1:9" ht="14.25">
      <c r="A551" s="484"/>
      <c r="B551" s="485" t="s">
        <v>2747</v>
      </c>
      <c r="C551" s="487"/>
      <c r="D551" s="1290" t="s">
        <v>1081</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25">
      <c r="A554" s="484"/>
      <c r="B554" s="485" t="s">
        <v>2747</v>
      </c>
      <c r="C554" s="487"/>
      <c r="D554" s="1290" t="s">
        <v>1082</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25">
      <c r="A557" s="484"/>
      <c r="B557" s="485" t="s">
        <v>2747</v>
      </c>
      <c r="C557" s="487"/>
      <c r="D557" s="1290" t="s">
        <v>1083</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25">
      <c r="A560" s="484"/>
      <c r="B560" s="485" t="s">
        <v>2747</v>
      </c>
      <c r="C560" s="487"/>
      <c r="D560" s="1290" t="s">
        <v>1084</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25">
      <c r="A564" s="484"/>
      <c r="B564" s="485" t="s">
        <v>2748</v>
      </c>
      <c r="C564" s="487"/>
      <c r="D564" s="1290" t="s">
        <v>2200</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25">
      <c r="A567" s="484"/>
      <c r="B567" s="485" t="s">
        <v>2747</v>
      </c>
      <c r="C567" s="487"/>
      <c r="D567" s="1290" t="s">
        <v>1085</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25">
      <c r="A570" s="484"/>
      <c r="B570" s="485" t="s">
        <v>2747</v>
      </c>
      <c r="C570" s="487"/>
      <c r="D570" s="1291" t="s">
        <v>1086</v>
      </c>
      <c r="E570" s="1291"/>
      <c r="F570" s="1291"/>
      <c r="I570" s="490"/>
    </row>
    <row r="571" spans="1:9">
      <c r="A571" s="490"/>
      <c r="B571" s="490"/>
      <c r="C571" s="487"/>
      <c r="D571" s="1291" t="s">
        <v>1879</v>
      </c>
      <c r="E571" s="1291"/>
      <c r="F571" s="1291"/>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2747</v>
      </c>
      <c r="C574" s="487"/>
      <c r="D574" s="1291" t="s">
        <v>1087</v>
      </c>
      <c r="E574" s="1291"/>
      <c r="F574" s="1291"/>
      <c r="I574" s="490"/>
    </row>
    <row r="575" spans="1:9">
      <c r="C575" s="487"/>
      <c r="D575" s="1290" t="s">
        <v>1088</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25">
      <c r="A579" s="484"/>
      <c r="B579" s="485" t="s">
        <v>2747</v>
      </c>
      <c r="C579" s="487"/>
      <c r="D579" s="1290" t="s">
        <v>2021</v>
      </c>
      <c r="E579" s="1290"/>
      <c r="F579" s="1290"/>
      <c r="I579" s="490"/>
    </row>
    <row r="580" spans="1:9" ht="14.25">
      <c r="A580" s="484"/>
      <c r="B580" s="484"/>
      <c r="C580" s="487"/>
      <c r="D580" s="1290"/>
      <c r="E580" s="1290"/>
      <c r="F580" s="1290"/>
      <c r="I580" s="490"/>
    </row>
    <row r="581" spans="1:9" ht="14.25">
      <c r="A581" s="484"/>
      <c r="B581" s="484"/>
      <c r="C581" s="487"/>
      <c r="D581" s="1290"/>
      <c r="E581" s="1290"/>
      <c r="F581" s="1290"/>
      <c r="I581" s="490"/>
    </row>
    <row r="582" spans="1:9" ht="14.25">
      <c r="A582" s="484"/>
      <c r="B582" s="484"/>
      <c r="C582" s="487"/>
      <c r="D582" s="1290"/>
      <c r="E582" s="1290"/>
      <c r="F582" s="1290"/>
      <c r="I582" s="490"/>
    </row>
    <row r="583" spans="1:9" ht="14.25">
      <c r="A583" s="484"/>
      <c r="B583" s="484"/>
      <c r="C583" s="487"/>
      <c r="D583" s="446"/>
      <c r="E583" s="446"/>
      <c r="F583" s="446"/>
      <c r="I583" s="490"/>
    </row>
    <row r="584" spans="1:9">
      <c r="A584" s="1293" t="s">
        <v>1053</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1066</v>
      </c>
      <c r="E587" s="1294"/>
      <c r="F587" s="1294"/>
      <c r="I587" s="490"/>
    </row>
    <row r="588" spans="1:9">
      <c r="A588" s="402"/>
      <c r="B588" s="402"/>
      <c r="C588" s="483"/>
      <c r="D588" s="499"/>
      <c r="I588" s="490"/>
    </row>
    <row r="589" spans="1:9" hidden="1">
      <c r="A589" s="483"/>
      <c r="B589" s="485" t="s">
        <v>307</v>
      </c>
      <c r="D589" s="1294" t="s">
        <v>888</v>
      </c>
      <c r="E589" s="1294"/>
      <c r="F589" s="1294"/>
      <c r="I589" s="490"/>
    </row>
    <row r="590" spans="1:9" hidden="1">
      <c r="A590" s="490"/>
      <c r="B590" s="490"/>
      <c r="D590" s="476"/>
      <c r="I590" s="490"/>
    </row>
    <row r="591" spans="1:9">
      <c r="A591" s="490"/>
      <c r="B591" s="485" t="s">
        <v>2747</v>
      </c>
      <c r="D591" s="1294" t="s">
        <v>2022</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2748</v>
      </c>
      <c r="D595" s="1294" t="s">
        <v>1067</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2747</v>
      </c>
      <c r="D600" s="1294" t="s">
        <v>2023</v>
      </c>
      <c r="E600" s="1294"/>
      <c r="F600" s="1294"/>
      <c r="I600" s="490"/>
    </row>
    <row r="601" spans="1:9">
      <c r="A601" s="490"/>
      <c r="B601" s="490"/>
      <c r="D601" s="1294"/>
      <c r="E601" s="1294"/>
      <c r="F601" s="1294"/>
      <c r="I601" s="490"/>
    </row>
    <row r="602" spans="1:9">
      <c r="A602" s="490"/>
      <c r="B602" s="490"/>
      <c r="D602" s="499"/>
      <c r="I602" s="490"/>
    </row>
    <row r="603" spans="1:9">
      <c r="A603" s="490"/>
      <c r="B603" s="485" t="s">
        <v>2748</v>
      </c>
      <c r="D603" s="1294" t="s">
        <v>1068</v>
      </c>
      <c r="E603" s="1294"/>
      <c r="F603" s="1294"/>
      <c r="I603" s="490"/>
    </row>
    <row r="604" spans="1:9">
      <c r="A604" s="490"/>
      <c r="B604" s="490"/>
      <c r="D604" s="1294"/>
      <c r="E604" s="1294"/>
      <c r="F604" s="1294"/>
      <c r="I604" s="490"/>
    </row>
    <row r="605" spans="1:9" ht="14.25">
      <c r="A605" s="484"/>
      <c r="B605" s="484"/>
      <c r="D605" s="499"/>
      <c r="I605" s="490"/>
    </row>
    <row r="606" spans="1:9">
      <c r="A606" s="1293" t="s">
        <v>1054</v>
      </c>
      <c r="B606" s="1293"/>
      <c r="C606" s="1293"/>
      <c r="D606" s="1293"/>
      <c r="E606" s="1293"/>
      <c r="F606" s="1293"/>
      <c r="G606" s="1293"/>
      <c r="H606" s="1023"/>
      <c r="I606" s="1147"/>
    </row>
    <row r="607" spans="1:9">
      <c r="I607" s="490"/>
    </row>
    <row r="608" spans="1:9">
      <c r="D608" s="1299" t="s">
        <v>1106</v>
      </c>
      <c r="E608" s="1299"/>
      <c r="F608" s="1299"/>
      <c r="I608" s="490"/>
    </row>
    <row r="609" spans="1:9">
      <c r="D609" s="1300" t="s">
        <v>1107</v>
      </c>
      <c r="E609" s="1300"/>
      <c r="F609" s="1300"/>
      <c r="I609" s="490"/>
    </row>
    <row r="610" spans="1:9">
      <c r="D610" s="444"/>
      <c r="I610" s="490"/>
    </row>
    <row r="611" spans="1:9" ht="14.25" customHeight="1">
      <c r="A611" s="484"/>
      <c r="B611" s="485" t="s">
        <v>2747</v>
      </c>
      <c r="D611" s="1317" t="s">
        <v>1880</v>
      </c>
      <c r="E611" s="1317"/>
      <c r="F611" s="1317"/>
      <c r="I611" s="490"/>
    </row>
    <row r="612" spans="1:9">
      <c r="D612" s="1317"/>
      <c r="E612" s="1317"/>
      <c r="F612" s="1317"/>
      <c r="I612" s="490"/>
    </row>
    <row r="613" spans="1:9">
      <c r="D613" s="385"/>
      <c r="E613" s="1031" t="s">
        <v>1881</v>
      </c>
      <c r="F613" s="385"/>
      <c r="I613" s="490"/>
    </row>
    <row r="614" spans="1:9">
      <c r="I614" s="490"/>
    </row>
    <row r="615" spans="1:9">
      <c r="A615" s="1293" t="s">
        <v>1055</v>
      </c>
      <c r="B615" s="1293"/>
      <c r="C615" s="1293"/>
      <c r="D615" s="1293"/>
      <c r="E615" s="1293"/>
      <c r="F615" s="1293"/>
      <c r="G615" s="1293"/>
      <c r="H615" s="1023"/>
      <c r="I615" s="1147"/>
    </row>
    <row r="616" spans="1:9">
      <c r="A616" s="446"/>
      <c r="B616" s="446"/>
      <c r="I616" s="490"/>
    </row>
    <row r="617" spans="1:9">
      <c r="A617" s="482"/>
      <c r="B617" s="482"/>
      <c r="C617" s="482"/>
      <c r="D617" s="1324" t="s">
        <v>1108</v>
      </c>
      <c r="E617" s="1324"/>
      <c r="F617" s="1324"/>
      <c r="I617" s="490"/>
    </row>
    <row r="618" spans="1:9">
      <c r="A618" s="482"/>
      <c r="B618" s="482"/>
      <c r="C618" s="482"/>
      <c r="D618" s="1324"/>
      <c r="E618" s="1324"/>
      <c r="F618" s="1324"/>
      <c r="I618" s="490"/>
    </row>
    <row r="619" spans="1:9">
      <c r="C619" s="483"/>
      <c r="D619" s="1300" t="s">
        <v>1109</v>
      </c>
      <c r="E619" s="1300"/>
      <c r="F619" s="1300"/>
      <c r="I619" s="490"/>
    </row>
    <row r="620" spans="1:9">
      <c r="C620" s="483"/>
      <c r="D620" s="444"/>
      <c r="E620" s="444"/>
      <c r="F620" s="444"/>
      <c r="I620" s="490"/>
    </row>
    <row r="621" spans="1:9">
      <c r="B621" s="485" t="s">
        <v>2747</v>
      </c>
      <c r="C621" s="483"/>
      <c r="D621" s="1306" t="s">
        <v>2604</v>
      </c>
      <c r="E621" s="1306"/>
      <c r="F621" s="1306"/>
      <c r="I621" s="490"/>
    </row>
    <row r="622" spans="1:9">
      <c r="C622" s="483"/>
      <c r="D622" s="444"/>
      <c r="E622" s="444"/>
      <c r="F622" s="444"/>
      <c r="I622" s="490"/>
    </row>
    <row r="623" spans="1:9" ht="12.75" customHeight="1">
      <c r="A623" s="490"/>
      <c r="B623" s="485" t="s">
        <v>2747</v>
      </c>
      <c r="D623" s="1301" t="s">
        <v>1110</v>
      </c>
      <c r="E623" s="1301"/>
      <c r="F623" s="1301"/>
      <c r="I623" s="490"/>
    </row>
    <row r="624" spans="1:9">
      <c r="D624" s="1301"/>
      <c r="E624" s="1301"/>
      <c r="F624" s="1301"/>
      <c r="I624" s="490"/>
    </row>
    <row r="625" spans="1:9">
      <c r="I625" s="490"/>
    </row>
    <row r="626" spans="1:9">
      <c r="B626" s="485" t="s">
        <v>2747</v>
      </c>
      <c r="D626" s="1301" t="s">
        <v>1111</v>
      </c>
      <c r="E626" s="1301"/>
      <c r="F626" s="1301"/>
      <c r="I626" s="490"/>
    </row>
    <row r="627" spans="1:9">
      <c r="C627" s="500"/>
      <c r="D627" s="1301"/>
      <c r="E627" s="1301"/>
      <c r="F627" s="1301"/>
      <c r="I627" s="490"/>
    </row>
    <row r="628" spans="1:9">
      <c r="C628" s="500"/>
      <c r="I628" s="490"/>
    </row>
    <row r="629" spans="1:9">
      <c r="B629" s="485" t="s">
        <v>2748</v>
      </c>
      <c r="C629" s="500"/>
      <c r="D629" s="1301" t="s">
        <v>1112</v>
      </c>
      <c r="E629" s="1301"/>
      <c r="F629" s="1301"/>
      <c r="I629" s="490"/>
    </row>
    <row r="630" spans="1:9">
      <c r="C630" s="500"/>
      <c r="D630" s="1301"/>
      <c r="E630" s="1301"/>
      <c r="F630" s="1301"/>
      <c r="I630" s="500"/>
    </row>
    <row r="631" spans="1:9">
      <c r="C631" s="500"/>
      <c r="I631" s="490"/>
    </row>
    <row r="632" spans="1:9">
      <c r="B632" s="485" t="s">
        <v>2747</v>
      </c>
      <c r="C632" s="500"/>
      <c r="D632" s="1306" t="s">
        <v>2549</v>
      </c>
      <c r="E632" s="1306"/>
      <c r="F632" s="1306"/>
      <c r="I632" s="490"/>
    </row>
    <row r="633" spans="1:9">
      <c r="C633" s="500"/>
      <c r="I633" s="490"/>
    </row>
    <row r="634" spans="1:9">
      <c r="A634" s="1293" t="s">
        <v>1056</v>
      </c>
      <c r="B634" s="1293"/>
      <c r="C634" s="1293"/>
      <c r="D634" s="1293"/>
      <c r="E634" s="1293"/>
      <c r="F634" s="1293"/>
      <c r="G634" s="1293"/>
      <c r="H634" s="1023"/>
      <c r="I634" s="1147"/>
    </row>
    <row r="635" spans="1:9">
      <c r="A635" s="482"/>
      <c r="B635" s="482"/>
      <c r="C635" s="482"/>
      <c r="I635" s="490"/>
    </row>
    <row r="636" spans="1:9">
      <c r="C636" s="490"/>
      <c r="D636" s="1299" t="s">
        <v>1113</v>
      </c>
      <c r="E636" s="1299"/>
      <c r="F636" s="1299"/>
      <c r="I636" s="490"/>
    </row>
    <row r="637" spans="1:9">
      <c r="A637" s="490"/>
      <c r="B637" s="490"/>
      <c r="D637" s="404"/>
      <c r="I637" s="490"/>
    </row>
    <row r="638" spans="1:9" ht="14.25" customHeight="1">
      <c r="A638" s="484"/>
      <c r="B638" s="485" t="s">
        <v>2747</v>
      </c>
      <c r="D638" s="1317" t="s">
        <v>2024</v>
      </c>
      <c r="E638" s="1317"/>
      <c r="F638" s="1317"/>
      <c r="I638" s="490"/>
    </row>
    <row r="639" spans="1:9">
      <c r="D639" s="1317"/>
      <c r="E639" s="1317"/>
      <c r="F639" s="1317"/>
      <c r="I639" s="490"/>
    </row>
    <row r="640" spans="1:9">
      <c r="D640" s="385"/>
      <c r="E640" s="1031" t="s">
        <v>1883</v>
      </c>
      <c r="F640" s="385"/>
      <c r="I640" s="490"/>
    </row>
    <row r="641" spans="1:9">
      <c r="D641" s="1290" t="s">
        <v>1882</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25">
      <c r="A645" s="484"/>
      <c r="B645" s="485" t="s">
        <v>2748</v>
      </c>
      <c r="D645" s="1290" t="s">
        <v>1114</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25">
      <c r="A648" s="484"/>
      <c r="B648" s="485" t="s">
        <v>2748</v>
      </c>
      <c r="C648" s="487"/>
      <c r="D648" s="1290" t="s">
        <v>1224</v>
      </c>
      <c r="E648" s="1290"/>
      <c r="F648" s="1290"/>
      <c r="I648" s="490"/>
    </row>
    <row r="649" spans="1:9" ht="14.25">
      <c r="A649" s="484"/>
      <c r="B649" s="484"/>
      <c r="C649" s="487"/>
      <c r="D649" s="1290"/>
      <c r="E649" s="1290"/>
      <c r="F649" s="1290"/>
      <c r="I649" s="490"/>
    </row>
    <row r="650" spans="1:9" ht="14.25">
      <c r="A650" s="484"/>
      <c r="B650" s="484"/>
      <c r="C650" s="487"/>
      <c r="D650" s="1290"/>
      <c r="E650" s="1290"/>
      <c r="F650" s="1290"/>
      <c r="I650" s="490"/>
    </row>
    <row r="651" spans="1:9">
      <c r="A651" s="487"/>
      <c r="B651" s="485" t="s">
        <v>2748</v>
      </c>
      <c r="C651" s="487"/>
      <c r="D651" s="1291" t="s">
        <v>1115</v>
      </c>
      <c r="E651" s="1291"/>
      <c r="F651" s="1291"/>
      <c r="I651" s="490"/>
    </row>
    <row r="652" spans="1:9">
      <c r="A652" s="487"/>
      <c r="B652" s="487"/>
      <c r="C652" s="487"/>
      <c r="D652" s="446"/>
      <c r="E652" s="446"/>
      <c r="F652" s="446"/>
      <c r="I652" s="490"/>
    </row>
    <row r="653" spans="1:9">
      <c r="A653" s="1293" t="s">
        <v>1057</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1145</v>
      </c>
      <c r="E655" s="1299"/>
      <c r="F655" s="1299"/>
      <c r="I655" s="490"/>
    </row>
    <row r="656" spans="1:9">
      <c r="A656" s="483"/>
      <c r="B656" s="483"/>
      <c r="C656" s="483"/>
      <c r="D656" s="1291" t="s">
        <v>1146</v>
      </c>
      <c r="E656" s="1291"/>
      <c r="F656" s="1291"/>
      <c r="I656" s="490"/>
    </row>
    <row r="657" spans="1:9">
      <c r="A657" s="483"/>
      <c r="B657" s="483"/>
      <c r="C657" s="483"/>
      <c r="D657" s="446"/>
      <c r="E657" s="446"/>
      <c r="F657" s="446"/>
      <c r="I657" s="490"/>
    </row>
    <row r="658" spans="1:9" ht="12.75" customHeight="1">
      <c r="B658" s="485" t="s">
        <v>2748</v>
      </c>
      <c r="C658" s="487"/>
      <c r="D658" s="1290" t="s">
        <v>1280</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5" customHeight="1">
      <c r="A662" s="484"/>
      <c r="B662" s="484"/>
      <c r="C662" s="487"/>
      <c r="D662" s="385"/>
      <c r="E662" s="385"/>
      <c r="F662" s="385"/>
      <c r="I662" s="490"/>
    </row>
    <row r="663" spans="1:9" ht="12.75" customHeight="1">
      <c r="A663" s="483"/>
      <c r="B663" s="485" t="s">
        <v>2748</v>
      </c>
      <c r="C663" s="487"/>
      <c r="D663" s="1290" t="s">
        <v>1282</v>
      </c>
      <c r="E663" s="1290"/>
      <c r="F663" s="1290"/>
      <c r="I663" s="490"/>
    </row>
    <row r="664" spans="1:9" ht="14.25">
      <c r="A664" s="483"/>
      <c r="B664" s="484"/>
      <c r="C664" s="487"/>
      <c r="D664" s="1290"/>
      <c r="E664" s="1290"/>
      <c r="F664" s="1290"/>
      <c r="I664" s="490"/>
    </row>
    <row r="665" spans="1:9" ht="14.25">
      <c r="A665" s="483"/>
      <c r="B665" s="484"/>
      <c r="C665" s="487"/>
      <c r="D665" s="1290"/>
      <c r="E665" s="1290"/>
      <c r="F665" s="1290"/>
      <c r="I665" s="490"/>
    </row>
    <row r="666" spans="1:9" ht="14.25">
      <c r="A666" s="483"/>
      <c r="B666" s="484"/>
      <c r="C666" s="487"/>
      <c r="D666" s="1290"/>
      <c r="E666" s="1290"/>
      <c r="F666" s="1290"/>
      <c r="I666" s="490"/>
    </row>
    <row r="667" spans="1:9" ht="14.25">
      <c r="A667" s="483"/>
      <c r="B667" s="484"/>
      <c r="C667" s="487"/>
      <c r="D667" s="1290"/>
      <c r="E667" s="1290"/>
      <c r="F667" s="1290"/>
      <c r="I667" s="490"/>
    </row>
    <row r="668" spans="1:9" ht="14.25" customHeight="1">
      <c r="A668" s="483"/>
      <c r="B668" s="484"/>
      <c r="C668" s="487"/>
      <c r="F668" s="386"/>
      <c r="I668" s="490"/>
    </row>
    <row r="669" spans="1:9" ht="12.75" customHeight="1">
      <c r="A669" s="483"/>
      <c r="B669" s="485" t="s">
        <v>2748</v>
      </c>
      <c r="C669" s="487"/>
      <c r="D669" s="1290" t="s">
        <v>1281</v>
      </c>
      <c r="E669" s="1290"/>
      <c r="F669" s="1290"/>
      <c r="I669" s="490"/>
    </row>
    <row r="670" spans="1:9" ht="14.25">
      <c r="A670" s="483"/>
      <c r="B670" s="484"/>
      <c r="C670" s="487"/>
      <c r="D670" s="1290"/>
      <c r="E670" s="1290"/>
      <c r="F670" s="1290"/>
      <c r="I670" s="490"/>
    </row>
    <row r="671" spans="1:9" ht="14.25">
      <c r="A671" s="484"/>
      <c r="B671" s="484"/>
      <c r="C671" s="487"/>
      <c r="D671" s="1290"/>
      <c r="E671" s="1290"/>
      <c r="F671" s="1290"/>
      <c r="I671" s="490"/>
    </row>
    <row r="672" spans="1:9" ht="14.25">
      <c r="A672" s="484"/>
      <c r="B672" s="484"/>
      <c r="C672" s="487"/>
      <c r="D672" s="1290"/>
      <c r="E672" s="1290"/>
      <c r="F672" s="1290"/>
      <c r="I672" s="490"/>
    </row>
    <row r="673" spans="1:11" ht="14.25">
      <c r="A673" s="484"/>
      <c r="B673" s="484"/>
      <c r="C673" s="487"/>
      <c r="D673" s="445"/>
      <c r="E673" s="445"/>
      <c r="F673" s="445"/>
      <c r="I673" s="490"/>
    </row>
    <row r="674" spans="1:11" ht="12.75" customHeight="1">
      <c r="A674" s="483"/>
      <c r="B674" s="485" t="s">
        <v>2748</v>
      </c>
      <c r="C674" s="487"/>
      <c r="D674" s="1290" t="s">
        <v>2025</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1058</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1075</v>
      </c>
      <c r="E688" s="1291"/>
      <c r="F688" s="1291"/>
      <c r="H688" s="501"/>
      <c r="I688" s="483"/>
      <c r="J688" s="501"/>
      <c r="K688" s="501"/>
    </row>
    <row r="689" spans="1:11">
      <c r="A689" s="483"/>
      <c r="B689" s="483"/>
      <c r="C689" s="483"/>
      <c r="H689" s="501"/>
      <c r="I689" s="483"/>
      <c r="J689" s="501"/>
      <c r="K689" s="501"/>
    </row>
    <row r="690" spans="1:11" ht="14.25">
      <c r="A690" s="484"/>
      <c r="B690" s="485" t="s">
        <v>2747</v>
      </c>
      <c r="C690" s="483"/>
      <c r="D690" s="1291" t="s">
        <v>885</v>
      </c>
      <c r="E690" s="1291"/>
      <c r="F690" s="1291"/>
      <c r="H690" s="501"/>
      <c r="I690" s="483"/>
      <c r="J690" s="501"/>
      <c r="K690" s="501"/>
    </row>
    <row r="691" spans="1:11">
      <c r="A691" s="483"/>
      <c r="B691" s="483"/>
      <c r="C691" s="483"/>
      <c r="D691" s="1291" t="s">
        <v>894</v>
      </c>
      <c r="E691" s="1291"/>
      <c r="F691" s="1291"/>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2748</v>
      </c>
      <c r="C695" s="483"/>
      <c r="D695" s="1290" t="s">
        <v>2026</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25">
      <c r="A699" s="484"/>
      <c r="B699" s="485" t="s">
        <v>2747</v>
      </c>
      <c r="C699" s="483"/>
      <c r="D699" s="1291" t="s">
        <v>917</v>
      </c>
      <c r="E699" s="1291"/>
      <c r="F699" s="1291"/>
      <c r="H699" s="501"/>
      <c r="I699" s="483"/>
      <c r="J699" s="501"/>
      <c r="K699" s="501"/>
    </row>
    <row r="700" spans="1:11" ht="14.25">
      <c r="A700" s="484"/>
      <c r="B700" s="484"/>
      <c r="C700" s="483"/>
      <c r="D700" s="1291" t="s">
        <v>894</v>
      </c>
      <c r="E700" s="1291"/>
      <c r="F700" s="1291"/>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2748</v>
      </c>
      <c r="C703" s="483"/>
      <c r="D703" s="1291" t="s">
        <v>2400</v>
      </c>
      <c r="E703" s="1291"/>
      <c r="F703" s="1291"/>
      <c r="H703" s="501"/>
      <c r="I703" s="483"/>
      <c r="J703" s="501"/>
      <c r="K703" s="501"/>
    </row>
    <row r="704" spans="1:11" ht="14.25">
      <c r="A704" s="484"/>
      <c r="B704" s="484"/>
      <c r="C704" s="483"/>
      <c r="D704" s="1291" t="s">
        <v>894</v>
      </c>
      <c r="E704" s="1291"/>
      <c r="F704" s="1291"/>
      <c r="H704" s="501"/>
      <c r="I704" s="483"/>
      <c r="J704" s="501"/>
      <c r="K704" s="501"/>
    </row>
    <row r="705" spans="1:11">
      <c r="A705" s="483"/>
      <c r="B705" s="483"/>
      <c r="C705" s="483"/>
      <c r="E705" s="1031" t="s">
        <v>2401</v>
      </c>
      <c r="F705" s="404"/>
      <c r="H705" s="501"/>
      <c r="I705" s="483"/>
      <c r="J705" s="501"/>
      <c r="K705" s="501"/>
    </row>
    <row r="706" spans="1:11">
      <c r="A706" s="483"/>
      <c r="B706" s="483"/>
      <c r="C706" s="483"/>
      <c r="D706" s="404"/>
      <c r="H706" s="501"/>
      <c r="I706" s="483"/>
      <c r="J706" s="501"/>
      <c r="K706" s="501"/>
    </row>
    <row r="707" spans="1:11" ht="14.25">
      <c r="A707" s="484"/>
      <c r="B707" s="485" t="s">
        <v>2748</v>
      </c>
      <c r="C707" s="483"/>
      <c r="D707" s="1290" t="s">
        <v>2197</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2748</v>
      </c>
      <c r="C714" s="483"/>
      <c r="D714" s="1290" t="s">
        <v>1200</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25">
      <c r="A717" s="484"/>
      <c r="B717" s="485" t="s">
        <v>2748</v>
      </c>
      <c r="C717" s="483"/>
      <c r="D717" s="1290" t="s">
        <v>1076</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2748</v>
      </c>
      <c r="C730" s="483"/>
      <c r="D730" s="1290" t="s">
        <v>2393</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2748</v>
      </c>
      <c r="C734" s="483"/>
      <c r="D734" s="1290" t="s">
        <v>2392</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2748</v>
      </c>
      <c r="C738" s="483"/>
      <c r="D738" s="1290" t="s">
        <v>2391</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25">
      <c r="A743" s="484"/>
      <c r="B743" s="485" t="s">
        <v>2748</v>
      </c>
      <c r="C743" s="483"/>
      <c r="D743" s="1290" t="s">
        <v>1077</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25">
      <c r="A749" s="484"/>
      <c r="B749" s="485" t="s">
        <v>2748</v>
      </c>
      <c r="C749" s="483"/>
      <c r="D749" s="1290" t="s">
        <v>2100</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2614</v>
      </c>
      <c r="E756" s="1328"/>
      <c r="F756" s="1328"/>
      <c r="H756" s="501"/>
      <c r="I756" s="483"/>
      <c r="J756" s="501"/>
      <c r="K756" s="501"/>
    </row>
    <row r="757" spans="1:11">
      <c r="A757" s="483"/>
      <c r="B757" s="483"/>
      <c r="C757" s="483"/>
      <c r="D757" s="341"/>
      <c r="H757" s="501"/>
      <c r="I757" s="483"/>
      <c r="J757" s="501"/>
      <c r="K757" s="501"/>
    </row>
    <row r="758" spans="1:11">
      <c r="A758" s="1298" t="s">
        <v>1059</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 customHeight="1">
      <c r="C760" s="483"/>
      <c r="D760" s="1292" t="s">
        <v>1069</v>
      </c>
      <c r="E760" s="1292"/>
      <c r="F760" s="1292"/>
      <c r="G760" s="501"/>
      <c r="H760" s="501"/>
      <c r="I760" s="483"/>
      <c r="J760" s="501"/>
      <c r="K760" s="501"/>
    </row>
    <row r="761" spans="1:11">
      <c r="A761" s="483"/>
      <c r="B761" s="483"/>
      <c r="C761" s="483"/>
      <c r="D761" s="1297" t="s">
        <v>1070</v>
      </c>
      <c r="E761" s="1297"/>
      <c r="F761" s="1297"/>
      <c r="G761" s="501"/>
      <c r="H761" s="501"/>
      <c r="I761" s="483"/>
      <c r="J761" s="501"/>
      <c r="K761" s="501"/>
    </row>
    <row r="762" spans="1:11">
      <c r="A762" s="483"/>
      <c r="B762" s="483"/>
      <c r="C762" s="483"/>
      <c r="G762" s="501"/>
      <c r="H762" s="501"/>
      <c r="I762" s="483"/>
      <c r="J762" s="501"/>
      <c r="K762" s="501"/>
    </row>
    <row r="763" spans="1:11" ht="14.25">
      <c r="A763" s="484"/>
      <c r="B763" s="485" t="s">
        <v>2747</v>
      </c>
      <c r="D763" s="1290" t="s">
        <v>1071</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25">
      <c r="A770" s="503"/>
      <c r="B770" s="485" t="s">
        <v>2747</v>
      </c>
      <c r="C770" s="504"/>
      <c r="D770" s="1290" t="s">
        <v>1240</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25">
      <c r="A775" s="484"/>
      <c r="B775" s="485" t="s">
        <v>2747</v>
      </c>
      <c r="C775" s="504"/>
      <c r="D775" s="1301" t="s">
        <v>1241</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25">
      <c r="A779" s="484"/>
      <c r="B779" s="485" t="s">
        <v>2748</v>
      </c>
      <c r="D779" s="1290" t="s">
        <v>1197</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2748</v>
      </c>
      <c r="D782" s="1290" t="s">
        <v>1214</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c r="A786" s="1320" t="s">
        <v>1789</v>
      </c>
      <c r="B786" s="1320"/>
      <c r="C786" s="1320"/>
      <c r="D786" s="1320"/>
      <c r="E786" s="1320"/>
      <c r="F786" s="1320"/>
      <c r="G786" s="1320"/>
      <c r="H786" s="1023"/>
      <c r="I786" s="1147"/>
    </row>
    <row r="787" spans="1:11">
      <c r="A787" s="57"/>
      <c r="B787" s="57"/>
      <c r="C787" s="354"/>
      <c r="D787" s="3"/>
      <c r="E787" s="3"/>
      <c r="F787" s="3"/>
      <c r="G787" s="3"/>
      <c r="I787" s="490"/>
    </row>
    <row r="788" spans="1:11">
      <c r="A788" s="57"/>
      <c r="B788" s="57"/>
      <c r="C788" s="354"/>
      <c r="D788" s="1319" t="s">
        <v>1829</v>
      </c>
      <c r="E788" s="1319"/>
      <c r="F788" s="1319"/>
      <c r="G788" s="3"/>
      <c r="I788" s="490"/>
    </row>
    <row r="789" spans="1:11">
      <c r="A789" s="57"/>
      <c r="B789" s="57"/>
      <c r="C789" s="354"/>
      <c r="D789" s="1304" t="s">
        <v>1743</v>
      </c>
      <c r="E789" s="1304"/>
      <c r="F789" s="1304"/>
      <c r="G789" s="3"/>
      <c r="I789" s="490"/>
    </row>
    <row r="790" spans="1:11">
      <c r="A790" s="57"/>
      <c r="B790" s="57"/>
      <c r="C790" s="354"/>
      <c r="D790" s="447"/>
      <c r="E790" s="447"/>
      <c r="F790" s="447"/>
      <c r="G790" s="3"/>
      <c r="I790" s="490"/>
    </row>
    <row r="791" spans="1:11">
      <c r="A791" s="57"/>
      <c r="B791" s="485" t="s">
        <v>2748</v>
      </c>
      <c r="C791" s="354"/>
      <c r="D791" s="1321" t="s">
        <v>1744</v>
      </c>
      <c r="E791" s="1321"/>
      <c r="F791" s="1321"/>
      <c r="G791" s="3"/>
      <c r="I791" s="483"/>
    </row>
    <row r="792" spans="1:11">
      <c r="A792" s="57"/>
      <c r="B792" s="57"/>
      <c r="C792" s="354"/>
      <c r="D792" s="1321"/>
      <c r="E792" s="1321"/>
      <c r="F792" s="1321"/>
      <c r="G792" s="3"/>
      <c r="I792" s="490"/>
    </row>
    <row r="793" spans="1:11">
      <c r="A793" s="174"/>
      <c r="B793" s="174"/>
      <c r="C793" s="174"/>
      <c r="D793" s="1321"/>
      <c r="E793" s="1321"/>
      <c r="F793" s="1321"/>
      <c r="G793" s="118"/>
      <c r="I793" s="490"/>
    </row>
    <row r="794" spans="1:11">
      <c r="A794" s="354"/>
      <c r="B794" s="354"/>
      <c r="C794" s="354"/>
      <c r="D794" s="173"/>
      <c r="E794" s="3"/>
      <c r="F794" s="3"/>
      <c r="G794" s="3"/>
      <c r="I794" s="490"/>
    </row>
    <row r="795" spans="1:11">
      <c r="A795" s="172"/>
      <c r="B795" s="485" t="s">
        <v>2748</v>
      </c>
      <c r="C795" s="172"/>
      <c r="D795" s="1321" t="s">
        <v>1745</v>
      </c>
      <c r="E795" s="1321"/>
      <c r="F795" s="1321"/>
      <c r="G795" s="3"/>
      <c r="I795" s="483"/>
    </row>
    <row r="796" spans="1:11">
      <c r="A796" s="172"/>
      <c r="B796" s="172"/>
      <c r="C796" s="172"/>
      <c r="D796" s="1321"/>
      <c r="E796" s="1321"/>
      <c r="F796" s="1321"/>
      <c r="G796" s="3"/>
      <c r="I796" s="490"/>
    </row>
    <row r="797" spans="1:11">
      <c r="A797" s="172"/>
      <c r="B797" s="172"/>
      <c r="C797" s="172"/>
      <c r="D797" s="1321"/>
      <c r="E797" s="1321"/>
      <c r="F797" s="1321"/>
      <c r="G797" s="3"/>
      <c r="I797" s="490"/>
    </row>
    <row r="798" spans="1:11">
      <c r="A798" s="174"/>
      <c r="B798" s="174"/>
      <c r="C798" s="174"/>
      <c r="D798" s="3"/>
      <c r="E798" s="983"/>
      <c r="F798" s="983"/>
      <c r="G798" s="983"/>
      <c r="I798" s="490"/>
    </row>
    <row r="799" spans="1:11" ht="14.25">
      <c r="A799" s="175"/>
      <c r="B799" s="485" t="s">
        <v>2748</v>
      </c>
      <c r="C799" s="984"/>
      <c r="D799" s="1321" t="s">
        <v>1746</v>
      </c>
      <c r="E799" s="1321"/>
      <c r="F799" s="1321"/>
      <c r="G799" s="983"/>
      <c r="I799" s="483"/>
    </row>
    <row r="800" spans="1:11" ht="14.25">
      <c r="A800" s="175"/>
      <c r="B800" s="175"/>
      <c r="C800" s="984"/>
      <c r="D800" s="1321"/>
      <c r="E800" s="1321"/>
      <c r="F800" s="1321"/>
      <c r="G800" s="983"/>
      <c r="I800" s="490"/>
    </row>
    <row r="801" spans="1:9" ht="14.25">
      <c r="A801" s="175"/>
      <c r="B801" s="175"/>
      <c r="C801" s="984"/>
      <c r="D801" s="1321"/>
      <c r="E801" s="1321"/>
      <c r="F801" s="1321"/>
      <c r="G801" s="983"/>
      <c r="I801" s="490"/>
    </row>
    <row r="802" spans="1:9" ht="14.25">
      <c r="A802" s="175"/>
      <c r="B802" s="175"/>
      <c r="C802" s="984"/>
      <c r="D802" s="118"/>
      <c r="E802" s="3"/>
      <c r="F802" s="3"/>
      <c r="G802" s="983"/>
      <c r="I802" s="490"/>
    </row>
    <row r="803" spans="1:9" ht="14.25">
      <c r="A803" s="175"/>
      <c r="B803" s="485" t="s">
        <v>2748</v>
      </c>
      <c r="C803" s="984"/>
      <c r="D803" s="1321" t="s">
        <v>1747</v>
      </c>
      <c r="E803" s="1321"/>
      <c r="F803" s="1321"/>
      <c r="G803" s="983"/>
      <c r="I803" s="483"/>
    </row>
    <row r="804" spans="1:9" ht="14.25">
      <c r="A804" s="175"/>
      <c r="B804" s="175"/>
      <c r="C804" s="984"/>
      <c r="D804" s="1321"/>
      <c r="E804" s="1321"/>
      <c r="F804" s="1321"/>
      <c r="G804" s="983"/>
      <c r="I804" s="490"/>
    </row>
    <row r="805" spans="1:9" ht="14.25">
      <c r="A805" s="175"/>
      <c r="B805" s="175"/>
      <c r="C805" s="984"/>
      <c r="D805" s="1321"/>
      <c r="E805" s="1321"/>
      <c r="F805" s="1321"/>
      <c r="G805" s="983"/>
      <c r="I805" s="490"/>
    </row>
    <row r="806" spans="1:9" ht="14.25">
      <c r="A806" s="175"/>
      <c r="B806" s="175"/>
      <c r="C806" s="984"/>
      <c r="D806" s="1321"/>
      <c r="E806" s="1321"/>
      <c r="F806" s="1321"/>
      <c r="G806" s="983"/>
      <c r="I806" s="490"/>
    </row>
    <row r="807" spans="1:9" ht="14.25">
      <c r="A807" s="175"/>
      <c r="B807" s="175"/>
      <c r="C807" s="984"/>
      <c r="D807" s="1321"/>
      <c r="E807" s="1321"/>
      <c r="F807" s="1321"/>
      <c r="G807" s="983"/>
      <c r="I807" s="490"/>
    </row>
    <row r="808" spans="1:9" ht="14.25">
      <c r="A808" s="175"/>
      <c r="B808" s="175"/>
      <c r="C808" s="984"/>
      <c r="D808" s="1321"/>
      <c r="E808" s="1321"/>
      <c r="F808" s="1321"/>
      <c r="G808" s="983"/>
      <c r="I808" s="490"/>
    </row>
    <row r="809" spans="1:9" ht="14.25">
      <c r="A809" s="175"/>
      <c r="B809" s="175"/>
      <c r="C809" s="984"/>
      <c r="D809" s="1321" t="s">
        <v>1790</v>
      </c>
      <c r="E809" s="1321"/>
      <c r="F809" s="1321"/>
      <c r="G809" s="983"/>
      <c r="I809" s="490"/>
    </row>
    <row r="810" spans="1:9" ht="14.25">
      <c r="A810" s="175"/>
      <c r="B810" s="175"/>
      <c r="C810" s="984"/>
      <c r="D810" s="1321"/>
      <c r="E810" s="1321"/>
      <c r="F810" s="1321"/>
      <c r="G810" s="983"/>
      <c r="I810" s="490"/>
    </row>
    <row r="811" spans="1:9" ht="14.25">
      <c r="A811" s="175"/>
      <c r="B811" s="175"/>
      <c r="C811" s="984"/>
      <c r="D811" s="1321"/>
      <c r="E811" s="1321"/>
      <c r="F811" s="1321"/>
      <c r="G811" s="983"/>
      <c r="I811" s="490"/>
    </row>
    <row r="812" spans="1:9" ht="14.25">
      <c r="A812" s="175"/>
      <c r="B812" s="354"/>
      <c r="C812" s="984"/>
      <c r="D812" s="985"/>
      <c r="E812" s="985"/>
      <c r="F812" s="985"/>
      <c r="G812" s="983"/>
      <c r="I812" s="490"/>
    </row>
    <row r="813" spans="1:9" ht="14.25">
      <c r="A813" s="175"/>
      <c r="B813" s="485" t="s">
        <v>2748</v>
      </c>
      <c r="C813" s="984"/>
      <c r="D813" s="1321" t="s">
        <v>1748</v>
      </c>
      <c r="E813" s="1321"/>
      <c r="F813" s="1321"/>
      <c r="G813" s="983"/>
      <c r="I813" s="483"/>
    </row>
    <row r="814" spans="1:9" ht="14.25">
      <c r="A814" s="175"/>
      <c r="B814" s="175"/>
      <c r="C814" s="984"/>
      <c r="D814" s="1321"/>
      <c r="E814" s="1321"/>
      <c r="F814" s="1321"/>
      <c r="G814" s="983"/>
      <c r="I814" s="490"/>
    </row>
    <row r="815" spans="1:9" ht="14.25">
      <c r="A815" s="175"/>
      <c r="B815" s="175"/>
      <c r="C815" s="984"/>
      <c r="D815" s="1321"/>
      <c r="E815" s="1321"/>
      <c r="F815" s="1321"/>
      <c r="G815" s="983"/>
      <c r="I815" s="490"/>
    </row>
    <row r="816" spans="1:9" ht="14.25">
      <c r="A816" s="175"/>
      <c r="B816" s="175"/>
      <c r="C816" s="984"/>
      <c r="D816" s="1321"/>
      <c r="E816" s="1321"/>
      <c r="F816" s="1321"/>
      <c r="G816" s="983"/>
      <c r="I816" s="490"/>
    </row>
    <row r="817" spans="1:9" ht="14.25">
      <c r="A817" s="175"/>
      <c r="B817" s="175"/>
      <c r="C817" s="984"/>
      <c r="D817" s="1321"/>
      <c r="E817" s="1321"/>
      <c r="F817" s="1321"/>
      <c r="G817" s="983"/>
      <c r="I817" s="490"/>
    </row>
    <row r="818" spans="1:9" ht="14.25">
      <c r="A818" s="175"/>
      <c r="B818" s="175"/>
      <c r="C818" s="984"/>
      <c r="D818" s="1321"/>
      <c r="E818" s="1321"/>
      <c r="F818" s="1321"/>
      <c r="G818" s="983"/>
      <c r="I818" s="490"/>
    </row>
    <row r="819" spans="1:9" ht="14.25">
      <c r="A819" s="175"/>
      <c r="B819" s="175"/>
      <c r="C819" s="984"/>
      <c r="D819" s="977"/>
      <c r="E819" s="977"/>
      <c r="F819" s="977"/>
      <c r="G819" s="983"/>
      <c r="I819" s="490"/>
    </row>
    <row r="820" spans="1:9" ht="14.25">
      <c r="A820" s="175"/>
      <c r="B820" s="485" t="s">
        <v>2748</v>
      </c>
      <c r="C820" s="984"/>
      <c r="D820" s="1321" t="s">
        <v>1749</v>
      </c>
      <c r="E820" s="1321"/>
      <c r="F820" s="1321"/>
      <c r="G820" s="983"/>
      <c r="I820" s="483"/>
    </row>
    <row r="821" spans="1:9" ht="14.25">
      <c r="A821" s="175"/>
      <c r="B821" s="175"/>
      <c r="C821" s="984"/>
      <c r="D821" s="1321"/>
      <c r="E821" s="1321"/>
      <c r="F821" s="1321"/>
      <c r="G821" s="983"/>
      <c r="I821" s="490"/>
    </row>
    <row r="822" spans="1:9" ht="14.25">
      <c r="A822" s="175"/>
      <c r="B822" s="175"/>
      <c r="C822" s="984"/>
      <c r="D822" s="1321"/>
      <c r="E822" s="1321"/>
      <c r="F822" s="1321"/>
      <c r="G822" s="983"/>
      <c r="I822" s="490"/>
    </row>
    <row r="823" spans="1:9" ht="14.25">
      <c r="A823" s="175"/>
      <c r="B823" s="175"/>
      <c r="C823" s="984"/>
      <c r="D823" s="1321"/>
      <c r="E823" s="1321"/>
      <c r="F823" s="1321"/>
      <c r="G823" s="983"/>
      <c r="I823" s="490"/>
    </row>
    <row r="824" spans="1:9" ht="14.25">
      <c r="A824" s="175"/>
      <c r="B824" s="175"/>
      <c r="C824" s="984"/>
      <c r="D824" s="1321"/>
      <c r="E824" s="1321"/>
      <c r="F824" s="1321"/>
      <c r="G824" s="983"/>
      <c r="I824" s="490"/>
    </row>
    <row r="825" spans="1:9" ht="14.25">
      <c r="A825" s="175"/>
      <c r="B825" s="175"/>
      <c r="C825" s="984"/>
      <c r="D825" s="1321"/>
      <c r="E825" s="1321"/>
      <c r="F825" s="1321"/>
      <c r="G825" s="983"/>
      <c r="I825" s="490"/>
    </row>
    <row r="826" spans="1:9" ht="14.25">
      <c r="A826" s="175"/>
      <c r="B826" s="175"/>
      <c r="C826" s="984"/>
      <c r="D826" s="977"/>
      <c r="E826" s="977"/>
      <c r="F826" s="977"/>
      <c r="G826" s="983"/>
      <c r="I826" s="490"/>
    </row>
    <row r="827" spans="1:9" ht="14.25">
      <c r="A827" s="175"/>
      <c r="B827" s="485" t="s">
        <v>2748</v>
      </c>
      <c r="C827" s="984"/>
      <c r="D827" s="1295" t="s">
        <v>1750</v>
      </c>
      <c r="E827" s="1295"/>
      <c r="F827" s="1295"/>
      <c r="G827" s="983"/>
      <c r="I827" s="483"/>
    </row>
    <row r="828" spans="1:9" ht="14.25">
      <c r="A828" s="175"/>
      <c r="B828" s="175"/>
      <c r="C828" s="984"/>
      <c r="D828" s="1295"/>
      <c r="E828" s="1295"/>
      <c r="F828" s="1295"/>
      <c r="G828" s="983"/>
      <c r="I828" s="490"/>
    </row>
    <row r="829" spans="1:9">
      <c r="A829" s="13"/>
      <c r="B829" s="13"/>
      <c r="C829" s="984"/>
      <c r="D829" s="1295"/>
      <c r="E829" s="1295"/>
      <c r="F829" s="1295"/>
      <c r="G829" s="983"/>
      <c r="I829" s="490"/>
    </row>
    <row r="830" spans="1:9" ht="14.25">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313" t="s">
        <v>1751</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1791</v>
      </c>
      <c r="E836" s="1318"/>
      <c r="F836" s="1318"/>
      <c r="G836" s="3"/>
      <c r="I836" s="490"/>
    </row>
    <row r="837" spans="1:9" ht="14.25" customHeight="1">
      <c r="A837" s="175"/>
      <c r="B837" s="175"/>
      <c r="C837" s="354"/>
      <c r="D837" s="1266" t="s">
        <v>1752</v>
      </c>
      <c r="E837" s="1266"/>
      <c r="F837" s="1266"/>
      <c r="G837" s="3"/>
      <c r="I837" s="490"/>
    </row>
    <row r="838" spans="1:9" ht="12.75" customHeight="1">
      <c r="A838" s="175"/>
      <c r="B838" s="175"/>
      <c r="C838" s="354"/>
      <c r="D838" s="441"/>
      <c r="E838" s="441"/>
      <c r="F838" s="441"/>
      <c r="G838" s="3"/>
      <c r="I838" s="490"/>
    </row>
    <row r="839" spans="1:9" ht="12.75" customHeight="1">
      <c r="A839" s="354"/>
      <c r="B839" s="485" t="s">
        <v>2747</v>
      </c>
      <c r="C839" s="984"/>
      <c r="D839" s="1266" t="s">
        <v>1753</v>
      </c>
      <c r="E839" s="1266"/>
      <c r="F839" s="1266"/>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2032</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2747</v>
      </c>
      <c r="C853" s="984"/>
      <c r="D853" s="1266" t="s">
        <v>1754</v>
      </c>
      <c r="E853" s="1266"/>
      <c r="F853" s="1266"/>
      <c r="G853" s="3"/>
      <c r="I853" s="490" t="s">
        <v>1856</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2748</v>
      </c>
      <c r="C857" s="984"/>
      <c r="D857" s="1318" t="s">
        <v>1755</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2027</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2748</v>
      </c>
      <c r="C866" s="984"/>
      <c r="D866" s="1266" t="s">
        <v>1756</v>
      </c>
      <c r="E866" s="1266"/>
      <c r="F866" s="1266"/>
      <c r="G866" s="3"/>
      <c r="I866" s="490" t="s">
        <v>1854</v>
      </c>
    </row>
    <row r="867" spans="1:9" ht="12.75" customHeight="1">
      <c r="A867" s="175"/>
      <c r="B867" s="175"/>
      <c r="C867" s="984"/>
      <c r="D867" s="1266" t="s">
        <v>1757</v>
      </c>
      <c r="E867" s="1266"/>
      <c r="F867" s="1266"/>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2748</v>
      </c>
      <c r="C870" s="984"/>
      <c r="D870" s="1266" t="s">
        <v>1758</v>
      </c>
      <c r="E870" s="1266"/>
      <c r="F870" s="1266"/>
      <c r="G870" s="3"/>
      <c r="I870" s="490" t="s">
        <v>1857</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1792</v>
      </c>
      <c r="E877" s="1325"/>
      <c r="F877" s="1325"/>
      <c r="G877" s="983"/>
      <c r="I877" s="490"/>
    </row>
    <row r="878" spans="1:9" ht="12.75" customHeight="1">
      <c r="A878" s="354"/>
      <c r="B878" s="354"/>
      <c r="C878" s="174"/>
      <c r="D878" s="1326" t="s">
        <v>1760</v>
      </c>
      <c r="E878" s="1326"/>
      <c r="F878" s="1326"/>
      <c r="G878" s="983"/>
      <c r="I878" s="490"/>
    </row>
    <row r="879" spans="1:9" ht="12.75" customHeight="1">
      <c r="A879" s="354"/>
      <c r="B879" s="354"/>
      <c r="C879" s="174"/>
      <c r="D879" s="990"/>
      <c r="E879" s="990"/>
      <c r="F879" s="990"/>
      <c r="G879" s="983"/>
      <c r="I879" s="490"/>
    </row>
    <row r="880" spans="1:9" ht="12.75" customHeight="1">
      <c r="A880" s="175"/>
      <c r="B880" s="485" t="s">
        <v>2747</v>
      </c>
      <c r="C880" s="354"/>
      <c r="D880" s="1305" t="s">
        <v>1761</v>
      </c>
      <c r="E880" s="1305"/>
      <c r="F880" s="1305"/>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2747</v>
      </c>
      <c r="C883" s="354"/>
      <c r="D883" s="1266" t="s">
        <v>1762</v>
      </c>
      <c r="E883" s="1315"/>
      <c r="F883" s="1315"/>
      <c r="G883" s="3"/>
      <c r="I883" s="490" t="s">
        <v>1857</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2748</v>
      </c>
      <c r="C886" s="354"/>
      <c r="D886" s="1316" t="s">
        <v>1763</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2027</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2748</v>
      </c>
      <c r="C895" s="354"/>
      <c r="D895" s="1306" t="s">
        <v>1756</v>
      </c>
      <c r="E895" s="1306"/>
      <c r="F895" s="1306"/>
      <c r="G895" s="983"/>
      <c r="I895" s="490"/>
    </row>
    <row r="896" spans="1:9" ht="12.75" customHeight="1">
      <c r="A896" s="175"/>
      <c r="B896" s="175"/>
      <c r="C896" s="354"/>
      <c r="D896" s="1306" t="s">
        <v>1757</v>
      </c>
      <c r="E896" s="1306"/>
      <c r="F896" s="1306"/>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2748</v>
      </c>
      <c r="C899" s="354"/>
      <c r="D899" s="1266" t="s">
        <v>1758</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1793</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1799</v>
      </c>
      <c r="E906" s="1329"/>
      <c r="F906" s="1329"/>
      <c r="G906" s="57"/>
      <c r="I906" s="490"/>
    </row>
    <row r="907" spans="1:9" ht="12.75" customHeight="1">
      <c r="A907" s="57"/>
      <c r="B907" s="57"/>
      <c r="C907" s="57"/>
      <c r="D907" s="976"/>
      <c r="E907" s="976"/>
      <c r="F907" s="976"/>
      <c r="G907" s="57"/>
      <c r="I907" s="490"/>
    </row>
    <row r="908" spans="1:9" ht="12.75" customHeight="1">
      <c r="A908" s="57"/>
      <c r="B908" s="485" t="s">
        <v>2747</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1794</v>
      </c>
      <c r="E910" s="1329"/>
      <c r="F910" s="1329"/>
      <c r="G910" s="983"/>
      <c r="I910" s="490"/>
    </row>
    <row r="911" spans="1:9" ht="12.75" customHeight="1">
      <c r="A911" s="172"/>
      <c r="B911" s="172"/>
      <c r="C911" s="172"/>
      <c r="D911" s="1305" t="s">
        <v>1764</v>
      </c>
      <c r="E911" s="1305"/>
      <c r="F911" s="1305"/>
      <c r="G911" s="983"/>
      <c r="I911" s="490"/>
    </row>
    <row r="912" spans="1:9" ht="12.75" customHeight="1">
      <c r="A912" s="984"/>
      <c r="B912" s="984"/>
      <c r="C912" s="984"/>
      <c r="D912" s="2"/>
      <c r="E912" s="983"/>
      <c r="F912" s="983"/>
      <c r="G912" s="983"/>
      <c r="I912" s="490"/>
    </row>
    <row r="913" spans="1:9" ht="12.75" customHeight="1">
      <c r="A913" s="175"/>
      <c r="B913" s="485" t="s">
        <v>2747</v>
      </c>
      <c r="C913" s="354"/>
      <c r="D913" s="1266" t="s">
        <v>1768</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1767</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2747</v>
      </c>
      <c r="C918" s="174"/>
      <c r="D918" s="1270" t="s">
        <v>1765</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2748</v>
      </c>
      <c r="C927" s="984"/>
      <c r="D927" s="1266" t="s">
        <v>1769</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2748</v>
      </c>
      <c r="C930" s="984"/>
      <c r="D930" s="1295" t="s">
        <v>1770</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2748</v>
      </c>
      <c r="C935" s="984"/>
      <c r="D935" s="1305" t="s">
        <v>2028</v>
      </c>
      <c r="E935" s="1305"/>
      <c r="F935" s="1305"/>
      <c r="G935" s="983"/>
      <c r="I935" s="490"/>
    </row>
    <row r="936" spans="1:9" ht="12.75" customHeight="1">
      <c r="A936" s="984"/>
      <c r="B936" s="984"/>
      <c r="C936" s="984"/>
      <c r="D936" s="118"/>
      <c r="E936" s="983"/>
      <c r="F936" s="983"/>
      <c r="G936" s="983"/>
      <c r="I936" s="490"/>
    </row>
    <row r="937" spans="1:9" ht="12.75" customHeight="1">
      <c r="A937" s="984"/>
      <c r="B937" s="485" t="s">
        <v>2748</v>
      </c>
      <c r="C937" s="984"/>
      <c r="D937" s="1305" t="s">
        <v>2029</v>
      </c>
      <c r="E937" s="1305"/>
      <c r="F937" s="1305"/>
      <c r="G937" s="983"/>
      <c r="I937" s="490"/>
    </row>
    <row r="938" spans="1:9" ht="12.75" customHeight="1">
      <c r="A938" s="174"/>
      <c r="B938" s="174"/>
      <c r="C938" s="174"/>
      <c r="D938" s="2"/>
      <c r="E938" s="3"/>
      <c r="F938" s="983"/>
      <c r="G938" s="983"/>
      <c r="I938" s="490"/>
    </row>
    <row r="939" spans="1:9" ht="12.75" customHeight="1">
      <c r="A939" s="992"/>
      <c r="B939" s="485" t="s">
        <v>2748</v>
      </c>
      <c r="C939" s="993"/>
      <c r="D939" s="1270" t="s">
        <v>1766</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2747</v>
      </c>
      <c r="C949" s="174"/>
      <c r="D949" s="1330" t="s">
        <v>1860</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2747</v>
      </c>
      <c r="C957" s="174"/>
      <c r="D957" s="1269" t="s">
        <v>2093</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2748</v>
      </c>
      <c r="C964" s="984"/>
      <c r="D964" s="1295" t="s">
        <v>1771</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2748</v>
      </c>
      <c r="C969" s="174"/>
      <c r="D969" s="1270" t="s">
        <v>1859</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1772</v>
      </c>
      <c r="E974" s="1325"/>
      <c r="F974" s="1325"/>
      <c r="G974" s="3"/>
      <c r="I974" s="490"/>
    </row>
    <row r="975" spans="1:9" ht="12.75" customHeight="1">
      <c r="A975" s="175"/>
      <c r="B975" s="485" t="s">
        <v>2748</v>
      </c>
      <c r="C975" s="354"/>
      <c r="D975" s="1305" t="s">
        <v>1795</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1773</v>
      </c>
      <c r="E977" s="1325"/>
      <c r="F977" s="1325"/>
      <c r="G977"/>
      <c r="I977" s="490"/>
    </row>
    <row r="978" spans="1:9" ht="12.75" customHeight="1">
      <c r="A978" s="175"/>
      <c r="B978" s="485" t="s">
        <v>2748</v>
      </c>
      <c r="C978" s="354"/>
      <c r="D978" s="1266" t="s">
        <v>2030</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1774</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1796</v>
      </c>
      <c r="E996" s="1325"/>
      <c r="F996" s="1325"/>
      <c r="G996" s="3"/>
      <c r="I996" s="490"/>
    </row>
    <row r="997" spans="1:9" ht="12.75" customHeight="1">
      <c r="A997" s="172"/>
      <c r="B997" s="172"/>
      <c r="C997" s="172"/>
      <c r="D997" s="1305" t="s">
        <v>1775</v>
      </c>
      <c r="E997" s="1305"/>
      <c r="F997" s="1305"/>
      <c r="G997" s="3"/>
      <c r="I997" s="490"/>
    </row>
    <row r="998" spans="1:9" ht="12.75" customHeight="1">
      <c r="A998" s="172"/>
      <c r="B998" s="172"/>
      <c r="C998" s="172"/>
      <c r="D998" s="3"/>
      <c r="E998" s="3"/>
      <c r="F998" s="983"/>
      <c r="G998"/>
      <c r="I998" s="490"/>
    </row>
    <row r="999" spans="1:9" ht="12.75" customHeight="1">
      <c r="A999" s="354"/>
      <c r="B999" s="485" t="s">
        <v>2747</v>
      </c>
      <c r="C999" s="354"/>
      <c r="D999" s="1335" t="s">
        <v>1888</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2" t="s">
        <v>1887</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2748</v>
      </c>
      <c r="C1007" s="174"/>
      <c r="D1007" s="1266" t="s">
        <v>1776</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2748</v>
      </c>
      <c r="C1012" s="174"/>
      <c r="D1012" s="1266" t="s">
        <v>2184</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2748</v>
      </c>
      <c r="C1015" s="354"/>
      <c r="D1015" s="1305" t="s">
        <v>1777</v>
      </c>
      <c r="E1015" s="1305"/>
      <c r="F1015" s="1305"/>
      <c r="G1015"/>
      <c r="I1015" s="490"/>
    </row>
    <row r="1016" spans="1:9" ht="12.75" customHeight="1">
      <c r="A1016" s="354"/>
      <c r="B1016" s="354"/>
      <c r="C1016" s="354"/>
      <c r="D1016" s="3"/>
      <c r="E1016" s="3"/>
      <c r="F1016" s="3"/>
      <c r="G1016"/>
      <c r="I1016" s="490"/>
    </row>
    <row r="1017" spans="1:9" ht="12.75" customHeight="1">
      <c r="A1017" s="175"/>
      <c r="B1017" s="485" t="s">
        <v>2748</v>
      </c>
      <c r="C1017" s="354"/>
      <c r="D1017" s="1305" t="s">
        <v>1778</v>
      </c>
      <c r="E1017" s="1305"/>
      <c r="F1017" s="1305"/>
      <c r="G1017"/>
      <c r="I1017" s="490"/>
    </row>
    <row r="1018" spans="1:9" ht="12.75" customHeight="1">
      <c r="A1018" s="354"/>
      <c r="B1018" s="354"/>
      <c r="C1018" s="354"/>
      <c r="D1018" s="118"/>
      <c r="E1018" s="3"/>
      <c r="F1018" s="3"/>
      <c r="G1018"/>
      <c r="I1018" s="490"/>
    </row>
    <row r="1019" spans="1:9" ht="12.75" customHeight="1">
      <c r="A1019" s="175"/>
      <c r="B1019" s="485" t="s">
        <v>2747</v>
      </c>
      <c r="C1019" s="354"/>
      <c r="D1019" s="1305" t="s">
        <v>1779</v>
      </c>
      <c r="E1019" s="1305"/>
      <c r="F1019" s="1305"/>
      <c r="G1019"/>
      <c r="I1019" s="490"/>
    </row>
    <row r="1020" spans="1:9" ht="12.75" customHeight="1">
      <c r="A1020" s="354"/>
      <c r="B1020" s="354"/>
      <c r="C1020" s="354"/>
      <c r="D1020" s="118"/>
      <c r="E1020" s="3"/>
      <c r="F1020" s="3"/>
      <c r="G1020"/>
      <c r="I1020" s="490"/>
    </row>
    <row r="1021" spans="1:9" ht="12.75" customHeight="1">
      <c r="A1021" s="175"/>
      <c r="B1021" s="485" t="s">
        <v>2747</v>
      </c>
      <c r="C1021" s="354"/>
      <c r="D1021" s="1266" t="s">
        <v>1780</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2748</v>
      </c>
      <c r="C1024" s="995"/>
      <c r="D1024" s="1321" t="s">
        <v>1781</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2748</v>
      </c>
      <c r="C1027" s="995"/>
      <c r="D1027" s="1336" t="s">
        <v>1782</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2748</v>
      </c>
      <c r="C1029" s="354"/>
      <c r="D1029" s="1305" t="s">
        <v>1783</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2748</v>
      </c>
      <c r="C1031" s="354"/>
      <c r="D1031" s="1266" t="s">
        <v>1784</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1785</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1786</v>
      </c>
      <c r="E1036" s="1329"/>
      <c r="F1036" s="1329"/>
      <c r="G1036" s="3"/>
      <c r="I1036" s="490"/>
    </row>
    <row r="1037" spans="1:9" ht="12.75" customHeight="1">
      <c r="A1037" s="354"/>
      <c r="B1037" s="354"/>
      <c r="C1037" s="354"/>
      <c r="D1037" s="1336" t="s">
        <v>1787</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1801</v>
      </c>
      <c r="E1039" s="1329"/>
      <c r="F1039" s="1329"/>
      <c r="G1039" s="3"/>
      <c r="I1039" s="490"/>
    </row>
    <row r="1040" spans="1:9" ht="12.75" customHeight="1">
      <c r="A1040" s="354"/>
      <c r="B1040" s="485" t="s">
        <v>2747</v>
      </c>
      <c r="C1040" s="354"/>
      <c r="D1040" s="1336" t="s">
        <v>1270</v>
      </c>
      <c r="E1040" s="1336"/>
      <c r="F1040" s="1336"/>
      <c r="G1040" s="3"/>
      <c r="I1040" s="490"/>
    </row>
    <row r="1041" spans="1:9" ht="12.75" customHeight="1">
      <c r="A1041" s="354"/>
      <c r="B1041" s="175"/>
      <c r="C1041" s="354"/>
      <c r="D1041" s="1336" t="s">
        <v>1788</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1797</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1271</v>
      </c>
      <c r="E1045" s="1337"/>
      <c r="F1045" s="1337"/>
      <c r="G1045" s="3"/>
      <c r="I1045" s="490"/>
    </row>
    <row r="1046" spans="1:9" ht="12.75" hidden="1" customHeight="1">
      <c r="A1046" s="118"/>
      <c r="B1046" s="485" t="s">
        <v>307</v>
      </c>
      <c r="D1046" s="1300" t="s">
        <v>1270</v>
      </c>
      <c r="E1046" s="1300"/>
      <c r="F1046" s="1300"/>
      <c r="G1046" s="3"/>
      <c r="I1046" s="490"/>
    </row>
    <row r="1047" spans="1:9" ht="12.75" hidden="1" customHeight="1">
      <c r="A1047" s="118"/>
      <c r="B1047" s="402"/>
      <c r="D1047" s="1300" t="s">
        <v>1798</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1065</v>
      </c>
      <c r="E1049" s="1338"/>
      <c r="F1049" s="1338"/>
      <c r="G1049" s="3"/>
      <c r="I1049" s="490"/>
    </row>
    <row r="1050" spans="1:9" ht="12.75" customHeight="1">
      <c r="A1050" s="319"/>
      <c r="B1050" s="319"/>
      <c r="C1050" s="319"/>
      <c r="D1050" s="1306" t="s">
        <v>2201</v>
      </c>
      <c r="E1050" s="1306"/>
      <c r="F1050" s="1306"/>
      <c r="G1050" s="98"/>
      <c r="I1050" s="490"/>
    </row>
    <row r="1051" spans="1:9" ht="12.75" customHeight="1">
      <c r="A1051" s="175"/>
      <c r="B1051" s="485" t="s">
        <v>2748</v>
      </c>
      <c r="C1051" s="354"/>
      <c r="D1051" s="1306" t="s">
        <v>984</v>
      </c>
      <c r="E1051" s="1306"/>
      <c r="F1051" s="1306"/>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3" t="s">
        <v>2617</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2616</v>
      </c>
      <c r="I1056" s="490"/>
    </row>
    <row r="1057" spans="1:9">
      <c r="A1057" s="402"/>
      <c r="B1057" s="402"/>
      <c r="C1057" s="402"/>
      <c r="D1057" s="402" t="s">
        <v>2620</v>
      </c>
      <c r="I1057" s="490"/>
    </row>
    <row r="1058" spans="1:9">
      <c r="A1058" s="402"/>
      <c r="B1058" s="402"/>
      <c r="C1058" s="402"/>
      <c r="D1058" s="404"/>
      <c r="I1058" s="490"/>
    </row>
    <row r="1059" spans="1:9">
      <c r="A1059" s="402"/>
      <c r="B1059" s="485" t="s">
        <v>2748</v>
      </c>
      <c r="C1059" s="402"/>
      <c r="D1059" s="1287" t="s">
        <v>1802</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2621</v>
      </c>
      <c r="I1065" s="490"/>
    </row>
    <row r="1066" spans="1:9">
      <c r="A1066" s="402"/>
      <c r="B1066" s="402"/>
      <c r="C1066" s="402"/>
      <c r="I1066" s="490"/>
    </row>
    <row r="1067" spans="1:9">
      <c r="A1067" s="402"/>
      <c r="B1067" s="485" t="s">
        <v>2747</v>
      </c>
      <c r="C1067" s="402"/>
      <c r="D1067" s="402" t="s">
        <v>1800</v>
      </c>
      <c r="I1067" s="490"/>
    </row>
    <row r="1068" spans="1:9">
      <c r="A1068" s="402"/>
      <c r="B1068" s="402"/>
      <c r="C1068" s="402"/>
      <c r="I1068" s="490"/>
    </row>
    <row r="1069" spans="1:9">
      <c r="A1069" s="402"/>
      <c r="B1069" s="485" t="s">
        <v>2748</v>
      </c>
      <c r="C1069" s="402"/>
      <c r="D1069" s="1287" t="s">
        <v>1803</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1804</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2747</v>
      </c>
      <c r="C1078" s="402"/>
      <c r="D1078" s="527" t="s">
        <v>1807</v>
      </c>
      <c r="I1078" s="490"/>
    </row>
    <row r="1079" spans="1:9">
      <c r="A1079" s="402"/>
      <c r="B1079" s="402"/>
      <c r="C1079" s="402"/>
      <c r="D1079" s="527" t="s">
        <v>2630</v>
      </c>
      <c r="I1079" s="490"/>
    </row>
    <row r="1080" spans="1:9">
      <c r="A1080" s="402"/>
      <c r="B1080" s="402"/>
      <c r="C1080" s="402"/>
      <c r="D1080" s="527"/>
      <c r="I1080" s="490"/>
    </row>
    <row r="1081" spans="1:9">
      <c r="A1081" s="402"/>
      <c r="B1081" s="485" t="s">
        <v>2747</v>
      </c>
      <c r="C1081" s="402"/>
      <c r="D1081" s="1334" t="s">
        <v>2623</v>
      </c>
      <c r="E1081" s="1334"/>
      <c r="F1081" s="1334"/>
      <c r="I1081" s="490"/>
    </row>
    <row r="1082" spans="1:9">
      <c r="A1082" s="402"/>
      <c r="B1082" s="402"/>
      <c r="C1082" s="402"/>
      <c r="D1082" s="1334"/>
      <c r="E1082" s="1334"/>
      <c r="F1082" s="1334"/>
      <c r="I1082" s="490"/>
    </row>
    <row r="1083" spans="1:9">
      <c r="A1083" s="402"/>
      <c r="B1083" s="402"/>
      <c r="C1083" s="402"/>
      <c r="D1083" s="527" t="s">
        <v>2622</v>
      </c>
      <c r="I1083" s="490"/>
    </row>
    <row r="1084" spans="1:9">
      <c r="A1084" s="402"/>
      <c r="B1084" s="402"/>
      <c r="C1084" s="402"/>
      <c r="D1084" s="527"/>
      <c r="I1084" s="490"/>
    </row>
    <row r="1085" spans="1:9">
      <c r="A1085" s="402"/>
      <c r="B1085" s="485" t="s">
        <v>2748</v>
      </c>
      <c r="C1085" s="402"/>
      <c r="D1085" s="119" t="s">
        <v>2631</v>
      </c>
      <c r="I1085" s="490"/>
    </row>
    <row r="1086" spans="1:9">
      <c r="A1086" s="402"/>
      <c r="B1086" s="402"/>
      <c r="C1086" s="402"/>
      <c r="D1086" s="1266" t="s">
        <v>2633</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2632</v>
      </c>
      <c r="I1090" s="490"/>
    </row>
    <row r="1091" spans="1:9">
      <c r="A1091" s="402"/>
      <c r="B1091" s="402"/>
      <c r="C1091" s="402"/>
      <c r="D1091" s="119"/>
      <c r="I1091" s="490"/>
    </row>
    <row r="1092" spans="1:9">
      <c r="A1092" s="402"/>
      <c r="B1092" s="402"/>
      <c r="C1092" s="402"/>
      <c r="D1092" s="527" t="s">
        <v>1805</v>
      </c>
      <c r="I1092" s="490"/>
    </row>
    <row r="1093" spans="1:9">
      <c r="A1093" s="402"/>
      <c r="B1093" s="485" t="s">
        <v>2748</v>
      </c>
      <c r="C1093" s="402"/>
      <c r="D1093" s="1331" t="s">
        <v>1806</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2634</v>
      </c>
      <c r="I1098" s="490"/>
    </row>
    <row r="1099" spans="1:9">
      <c r="A1099" s="402"/>
      <c r="B1099" s="402"/>
      <c r="C1099" s="402"/>
      <c r="I1099" s="490"/>
    </row>
    <row r="1100" spans="1:9">
      <c r="A1100" s="402"/>
      <c r="B1100" s="485" t="s">
        <v>2748</v>
      </c>
      <c r="C1100" s="402"/>
      <c r="D1100" s="1282" t="s">
        <v>2223</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1808</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2748</v>
      </c>
      <c r="C1107" s="402"/>
      <c r="D1107" s="1332" t="s">
        <v>1902</v>
      </c>
      <c r="E1107" s="1332"/>
      <c r="F1107" s="1332"/>
      <c r="I1107" s="490"/>
    </row>
    <row r="1108" spans="1:9">
      <c r="A1108" s="402"/>
      <c r="B1108" s="402"/>
      <c r="C1108" s="402"/>
      <c r="D1108" s="1332"/>
      <c r="E1108" s="1332"/>
      <c r="F1108" s="1332"/>
      <c r="I1108" s="490"/>
    </row>
    <row r="1109" spans="1:9">
      <c r="A1109" s="402"/>
      <c r="B1109" s="402"/>
      <c r="C1109" s="402"/>
      <c r="D1109" s="1333" t="s">
        <v>2638</v>
      </c>
      <c r="E1109" s="1266"/>
      <c r="F1109" s="1266"/>
      <c r="I1109" s="490"/>
    </row>
    <row r="1110" spans="1:9">
      <c r="A1110" s="402"/>
      <c r="B1110" s="402"/>
      <c r="C1110" s="402"/>
      <c r="D1110" s="527"/>
      <c r="I1110" s="490"/>
    </row>
    <row r="1111" spans="1:9">
      <c r="A1111" s="402"/>
      <c r="B1111" s="485" t="s">
        <v>2748</v>
      </c>
      <c r="C1111" s="402"/>
      <c r="D1111" s="1331" t="s">
        <v>2586</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2748</v>
      </c>
      <c r="C1115" s="402"/>
      <c r="D1115" s="1331" t="s">
        <v>2605</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2748</v>
      </c>
      <c r="C1121" s="402"/>
      <c r="D1121" s="1331" t="s">
        <v>1809</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2747</v>
      </c>
      <c r="C1125" s="402"/>
      <c r="D1125" s="1272" t="s">
        <v>1861</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2748</v>
      </c>
      <c r="C1129" s="402"/>
      <c r="D1129" s="1266" t="s">
        <v>1862</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2747</v>
      </c>
      <c r="C1134" s="402"/>
      <c r="D1134" s="1272" t="s">
        <v>2615</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2748</v>
      </c>
      <c r="C1141" s="402"/>
      <c r="D1141" s="1287" t="s">
        <v>2587</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1 B24 B27 B33 B536 B41 B36 B52 B47 B56 B65 B61 B72 B68 B80 B100 B119 B128 B131 B137 B103 B171 B177 B182 B205 B213 B228 B256 B233 B259 B267 B271 B278 B250 B290 B293 B297 B305 B307 B313 B316 B318 B334 B355 B360 B362 B380 B387 B420 B423 B429 B344 B435 B467 B471 B474 B478 B481 B486 B488 B494 B501 B504 B509 B530 B527 B1081 B516 B549 B551 B554 B557 B564 B560 B567 B570 B574 B589 B579 B595 B591 B603 B611 B626 B621 B629 B638 B645 B632 B648 B651 B658 B663 B669 B674 B690 B699 B703 B707 B714 B1093 B730 B734 B738 B743 B763 B749 B770 B779 B782 B245 B20 B96 B89 B92 B201 B197 B151 B209 B217 B775 B791 B795 B799 B803 B813 B820 B839 B842 B853 B857 B866 B870 B827 B883 B880 B886 B895 B918 B939 B949 B969 B913 B899 B927 B930 B935 B964 B975 B978 B999 B1007 B937 B1012 B1015 B1019 B1021 B1017 B1024 B1027 B1029 B908 B1046 B1031 B1040 B1051 B1067 B1059 B1069 B1129 B1085 B1078 B1115 B1134 B1125 B1111 B1100 B375 B957 B511 B514 B717 B695 B600 B623 B1107 B1141"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1004" zoomScaleNormal="100" workbookViewId="0">
      <selection activeCell="AH1017" sqref="AH101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2428</v>
      </c>
      <c r="BE1" s="3"/>
      <c r="BF1" s="3"/>
    </row>
    <row r="2" spans="1:58" ht="12.95" customHeight="1">
      <c r="BD2" s="3" t="s">
        <v>2429</v>
      </c>
      <c r="BE2" s="3" t="s">
        <v>2430</v>
      </c>
      <c r="BF2" s="3" t="s">
        <v>2431</v>
      </c>
    </row>
    <row r="3" spans="1:58" ht="12.95" customHeight="1">
      <c r="BD3" s="3" t="s">
        <v>2523</v>
      </c>
      <c r="BE3" t="str">
        <f>AC220</f>
        <v>City of Los Angeles</v>
      </c>
    </row>
    <row r="4" spans="1:58" ht="12.95" customHeight="1">
      <c r="BD4" s="3" t="s">
        <v>2438</v>
      </c>
      <c r="BE4" s="1180"/>
    </row>
    <row r="5" spans="1:58" ht="12.95" customHeight="1">
      <c r="BD5" s="3" t="s">
        <v>2439</v>
      </c>
      <c r="BE5">
        <f>SUMIF($AC$726:$AC$760,"&lt;=20%",$G$726:G$760)</f>
        <v>0</v>
      </c>
      <c r="BF5" s="3" t="s">
        <v>2444</v>
      </c>
    </row>
    <row r="6" spans="1:58" ht="12.95" customHeight="1">
      <c r="BD6" s="3" t="s">
        <v>2440</v>
      </c>
      <c r="BE6" s="1183">
        <f>SUMIF($AC$726:$AC$760,"&lt;=25%",$G$726:G$760)-SUM($BE$5:BE5)</f>
        <v>0</v>
      </c>
    </row>
    <row r="7" spans="1:58" ht="12.95" customHeight="1">
      <c r="BD7" s="1181" t="s">
        <v>2432</v>
      </c>
      <c r="BE7" s="1183">
        <f>SUMIF($AC$726:$AC$760,"&lt;=30%",$G$726:G$760)-SUM($BE$5:BE6)</f>
        <v>35</v>
      </c>
    </row>
    <row r="8" spans="1:58" ht="26.25" customHeight="1">
      <c r="A8" s="1837" t="s">
        <v>100</v>
      </c>
      <c r="B8" s="1837"/>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c r="AP8" s="1837"/>
      <c r="AQ8" s="1837"/>
      <c r="AR8" s="1837"/>
      <c r="AS8" s="1837"/>
      <c r="AT8" s="1837"/>
      <c r="AU8" s="894"/>
      <c r="AV8" s="894"/>
      <c r="AW8" s="894"/>
      <c r="AX8" s="894"/>
      <c r="AY8" s="894"/>
      <c r="BD8" s="3" t="s">
        <v>2441</v>
      </c>
      <c r="BE8" s="1183">
        <f>SUMIF($AC$726:$AC$760,"&lt;=35%",$G$726:G$760)-SUM($BE$5:BE7)</f>
        <v>0</v>
      </c>
    </row>
    <row r="9" spans="1:58" ht="12.95" customHeight="1">
      <c r="A9" s="1838" t="s">
        <v>2033</v>
      </c>
      <c r="B9" s="1838"/>
      <c r="C9" s="1838"/>
      <c r="D9" s="1838"/>
      <c r="E9" s="1838"/>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838"/>
      <c r="AQ9" s="1838"/>
      <c r="AR9" s="1838"/>
      <c r="AS9" s="1838"/>
      <c r="AT9" s="1838"/>
      <c r="AU9" s="13"/>
      <c r="AV9" s="13"/>
      <c r="AW9" s="13"/>
      <c r="AX9" s="13"/>
      <c r="AY9" s="13"/>
      <c r="BD9" s="1182" t="s">
        <v>2433</v>
      </c>
      <c r="BE9" s="1183">
        <f>SUMIF($AC$726:$AC$760,"&lt;=40%",$G$726:G$760)-SUM($BE$5:BE8)</f>
        <v>0</v>
      </c>
    </row>
    <row r="10" spans="1:58" ht="12.95" customHeight="1">
      <c r="A10" s="1838" t="s">
        <v>2607</v>
      </c>
      <c r="B10" s="1838"/>
      <c r="C10" s="1838"/>
      <c r="D10" s="1838"/>
      <c r="E10" s="1838"/>
      <c r="F10" s="1838"/>
      <c r="G10" s="1838"/>
      <c r="H10" s="1838"/>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c r="AM10" s="1838"/>
      <c r="AN10" s="1838"/>
      <c r="AO10" s="1838"/>
      <c r="AP10" s="1838"/>
      <c r="AQ10" s="1838"/>
      <c r="AR10" s="1838"/>
      <c r="AS10" s="1838"/>
      <c r="AT10" s="1838"/>
      <c r="AU10" s="13"/>
      <c r="AV10" s="13"/>
      <c r="AW10" s="13"/>
      <c r="AX10" s="13"/>
      <c r="AY10" s="13"/>
      <c r="BD10" s="3" t="s">
        <v>2442</v>
      </c>
      <c r="BE10" s="1183">
        <f>SUMIF($AC$726:$AC$760,"&lt;=45%",$G$726:G$760)-SUM($BE$5:BE9)</f>
        <v>0</v>
      </c>
    </row>
    <row r="11" spans="1:58" ht="12.95" customHeight="1">
      <c r="A11" s="1838" t="s">
        <v>2531</v>
      </c>
      <c r="B11" s="1838"/>
      <c r="C11" s="1838"/>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1838"/>
      <c r="AL11" s="1838"/>
      <c r="AM11" s="1838"/>
      <c r="AN11" s="1838"/>
      <c r="AO11" s="1838"/>
      <c r="AP11" s="1838"/>
      <c r="AQ11" s="1838"/>
      <c r="AR11" s="1838"/>
      <c r="AS11" s="1838"/>
      <c r="AT11" s="1838"/>
      <c r="AU11" s="13"/>
      <c r="AV11" s="13"/>
      <c r="AW11" s="13"/>
      <c r="AX11" s="13"/>
      <c r="AY11" s="13"/>
      <c r="BD11" s="1181" t="s">
        <v>2434</v>
      </c>
      <c r="BE11" s="1183">
        <f>SUMIF($AC$726:$AC$760,"&lt;=50%",$G$726:G$760)-SUM($BE$5:BE10)</f>
        <v>0</v>
      </c>
    </row>
    <row r="12" spans="1:58" ht="12.95" customHeight="1">
      <c r="A12" s="1839" t="s">
        <v>2642</v>
      </c>
      <c r="B12" s="1839"/>
      <c r="C12" s="1839"/>
      <c r="D12" s="1839"/>
      <c r="E12" s="1839"/>
      <c r="F12" s="1839"/>
      <c r="G12" s="1839"/>
      <c r="H12" s="1839"/>
      <c r="I12" s="1839"/>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1839"/>
      <c r="AM12" s="1839"/>
      <c r="AN12" s="1839"/>
      <c r="AO12" s="1839"/>
      <c r="AP12" s="1839"/>
      <c r="AQ12" s="1839"/>
      <c r="AR12" s="1839"/>
      <c r="AS12" s="1839"/>
      <c r="AT12" s="1839"/>
      <c r="AU12" s="6"/>
      <c r="AV12" s="6"/>
      <c r="AW12" s="6"/>
      <c r="AX12" s="6"/>
      <c r="AY12" s="6"/>
      <c r="BD12" s="3" t="s">
        <v>2443</v>
      </c>
      <c r="BE12" s="1183">
        <f>SUMIF($AC$726:$AC$760,"&lt;=55%",$G$726:G$760)-SUM($BE$5:BE11)</f>
        <v>0</v>
      </c>
    </row>
    <row r="13" spans="1:58" ht="12.95" customHeight="1">
      <c r="A13" s="1276" t="s">
        <v>2034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2435</v>
      </c>
      <c r="BE13" s="1183">
        <f>SUMIF($AC$726:$AC$760,"&lt;=60%",$G$726:G$760)-SUM($BE$5:BE12)</f>
        <v>11</v>
      </c>
    </row>
    <row r="14" spans="1:58"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2436</v>
      </c>
      <c r="BE14" s="1183">
        <f>SUMIF($AC$726:$AC$760,"&lt;=70%",$G$726:G$760)-SUM($BE$5:BE13)</f>
        <v>100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2437</v>
      </c>
      <c r="BE15" s="1183">
        <f>SUMIF($AC$726:$AC$760,"&lt;=80%",$G$726:G$760)-SUM($BE$5:BE14)</f>
        <v>0</v>
      </c>
    </row>
    <row r="16" spans="1:58" ht="12.95" customHeight="1">
      <c r="A16" s="57" t="s">
        <v>2035</v>
      </c>
      <c r="C16" s="4"/>
      <c r="D16" s="4"/>
      <c r="E16" s="4"/>
      <c r="F16" s="4"/>
      <c r="G16" s="4"/>
      <c r="H16" s="1548" t="s">
        <v>2643</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c r="BD16" s="1182" t="s">
        <v>656</v>
      </c>
      <c r="BE16" s="1183" t="str">
        <f>Application!H18</f>
        <v>975 Manhattan</v>
      </c>
    </row>
    <row r="17" spans="1:58" ht="12.95" customHeight="1">
      <c r="BD17" s="1181" t="s">
        <v>2449</v>
      </c>
      <c r="BE17" s="1183">
        <f>Application!AA943</f>
        <v>0</v>
      </c>
    </row>
    <row r="18" spans="1:58" ht="12.95" customHeight="1">
      <c r="A18" s="57" t="s">
        <v>101</v>
      </c>
      <c r="C18" s="4"/>
      <c r="D18" s="4"/>
      <c r="E18" s="4"/>
      <c r="F18" s="4"/>
      <c r="G18" s="4"/>
      <c r="H18" s="1499" t="s">
        <v>2644</v>
      </c>
      <c r="I18" s="1505"/>
      <c r="J18" s="1505"/>
      <c r="K18" s="1505"/>
      <c r="L18" s="1505"/>
      <c r="M18" s="1505"/>
      <c r="N18" s="1505"/>
      <c r="O18" s="1505"/>
      <c r="P18" s="1505"/>
      <c r="Q18" s="1505"/>
      <c r="R18" s="1505"/>
      <c r="S18" s="1505"/>
      <c r="T18" s="1505"/>
      <c r="U18" s="1505"/>
      <c r="V18" s="1505"/>
      <c r="W18" s="1505"/>
      <c r="X18" s="1505"/>
      <c r="Y18" s="1505"/>
      <c r="Z18" s="1505"/>
      <c r="AA18" s="1505"/>
      <c r="AB18" s="1505"/>
      <c r="AC18" s="1505"/>
      <c r="AD18" s="1505"/>
      <c r="AE18" s="1505"/>
      <c r="AF18" s="1505"/>
      <c r="AG18" s="1505"/>
      <c r="AH18" s="1505"/>
      <c r="AI18" s="1505"/>
      <c r="AJ18" s="1505"/>
      <c r="BD18" s="1182" t="s">
        <v>2450</v>
      </c>
      <c r="BE18" s="1183">
        <f>AA943</f>
        <v>0</v>
      </c>
    </row>
    <row r="19" spans="1:58" ht="12.95" customHeight="1">
      <c r="BD19" s="1181" t="s">
        <v>2451</v>
      </c>
      <c r="BE19" s="1183">
        <f>Application!M26</f>
        <v>2686191</v>
      </c>
    </row>
    <row r="20" spans="1:58" ht="12.95" customHeight="1">
      <c r="A20" s="1840" t="s">
        <v>873</v>
      </c>
      <c r="B20" s="1840"/>
      <c r="C20" s="1840"/>
      <c r="D20" s="1840"/>
      <c r="E20" s="1840"/>
      <c r="F20" s="1840"/>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c r="AS20" s="1840"/>
      <c r="AT20" s="1840"/>
      <c r="AU20" s="896"/>
      <c r="AV20" s="896"/>
      <c r="AW20" s="896"/>
      <c r="AX20" s="896"/>
      <c r="AY20" s="896"/>
      <c r="BD20" s="1182" t="s">
        <v>2452</v>
      </c>
      <c r="BE20" s="1183">
        <f>Application!M27</f>
        <v>0</v>
      </c>
    </row>
    <row r="21" spans="1:58" ht="12.95" customHeight="1">
      <c r="A21" s="1853" t="s">
        <v>1008</v>
      </c>
      <c r="B21" s="1853"/>
      <c r="C21" s="1853"/>
      <c r="D21" s="1853"/>
      <c r="E21" s="1853"/>
      <c r="F21" s="1853"/>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897"/>
      <c r="AN21" s="897"/>
      <c r="AO21" s="897"/>
      <c r="AP21" s="897"/>
      <c r="AQ21" s="897"/>
      <c r="AR21" s="897"/>
      <c r="AS21" s="897"/>
      <c r="AT21" s="897"/>
      <c r="AU21" s="897"/>
      <c r="AV21" s="897"/>
      <c r="AW21" s="897"/>
      <c r="AX21" s="897"/>
      <c r="AY21" s="897"/>
      <c r="BD21" s="1181" t="s">
        <v>2453</v>
      </c>
      <c r="BE21" s="1183">
        <f>Application!AM562</f>
        <v>14728320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57263747</v>
      </c>
      <c r="BF22" s="3" t="s">
        <v>2524</v>
      </c>
    </row>
    <row r="23" spans="1:58" ht="12.95" customHeight="1">
      <c r="A23" s="1332" t="s">
        <v>2101</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2454</v>
      </c>
      <c r="BE23" s="1183">
        <f>'Sources and Uses Budget'!B4</f>
        <v>0</v>
      </c>
    </row>
    <row r="24" spans="1:58"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2455</v>
      </c>
      <c r="BE24" s="1183">
        <f>Application!AG459</f>
        <v>112498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2456</v>
      </c>
      <c r="BE25" s="1183" t="str">
        <f>Application!D208</f>
        <v>40%/60% Average Income</v>
      </c>
    </row>
    <row r="26" spans="1:58" ht="12.95" customHeight="1">
      <c r="A26" s="4"/>
      <c r="C26" s="4"/>
      <c r="D26" s="4"/>
      <c r="E26" s="4"/>
      <c r="F26" s="4"/>
      <c r="G26" s="4"/>
      <c r="H26" s="4"/>
      <c r="I26" s="4"/>
      <c r="J26" s="4"/>
      <c r="K26" s="4"/>
      <c r="L26" s="4"/>
      <c r="M26" s="1842">
        <f>'Basis &amp; Credits'!AB56</f>
        <v>2686191</v>
      </c>
      <c r="N26" s="1842"/>
      <c r="O26" s="1842"/>
      <c r="P26" s="1842"/>
      <c r="Q26" s="1842"/>
      <c r="R26" s="4" t="s">
        <v>759</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366">
        <f>'Basis &amp; Credits'!AB78</f>
        <v>0</v>
      </c>
      <c r="N27" s="1366"/>
      <c r="O27" s="1366"/>
      <c r="P27" s="1366"/>
      <c r="Q27" s="1366"/>
      <c r="R27" s="3" t="s">
        <v>1266</v>
      </c>
      <c r="S27" s="4"/>
      <c r="T27" s="4"/>
      <c r="U27" s="4"/>
      <c r="V27" s="4"/>
      <c r="W27" s="4"/>
      <c r="X27" s="4"/>
      <c r="Y27" s="4"/>
      <c r="Z27" s="4"/>
      <c r="AF27" s="4"/>
      <c r="AG27" s="4"/>
      <c r="AH27" s="4"/>
      <c r="AI27" s="4"/>
      <c r="AJ27" s="4"/>
      <c r="AK27" s="4"/>
      <c r="BD27" s="1181" t="s">
        <v>2054</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2457</v>
      </c>
      <c r="BE28" s="1183" t="b">
        <f>Application!M366="Yes"</f>
        <v>0</v>
      </c>
    </row>
    <row r="29" spans="1:58" ht="12.95" customHeight="1">
      <c r="A29" s="1527" t="s">
        <v>2102</v>
      </c>
      <c r="B29" s="1527"/>
      <c r="C29" s="1527"/>
      <c r="D29" s="1527"/>
      <c r="E29" s="1527"/>
      <c r="F29" s="1527"/>
      <c r="G29" s="1527"/>
      <c r="H29" s="1527"/>
      <c r="I29" s="1527"/>
      <c r="J29" s="1527"/>
      <c r="K29" s="1527"/>
      <c r="L29" s="1527"/>
      <c r="M29" s="1527"/>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c r="AL29" s="1527"/>
      <c r="AM29" s="1527"/>
      <c r="AN29" s="1527"/>
      <c r="AO29" s="1527"/>
      <c r="AP29" s="1527"/>
      <c r="AQ29" s="1527"/>
      <c r="AR29" s="1527"/>
      <c r="AS29" s="1527"/>
      <c r="AT29" s="1527"/>
      <c r="BD29" s="1181" t="s">
        <v>2458</v>
      </c>
      <c r="BE29" s="1183" t="b">
        <f>Application!M367="Yes"</f>
        <v>0</v>
      </c>
    </row>
    <row r="30" spans="1:58" ht="12.95" customHeight="1">
      <c r="A30" s="1527"/>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Z30" s="20"/>
      <c r="BD30" s="1182" t="s">
        <v>28</v>
      </c>
      <c r="BE30" s="1183" t="b">
        <f>Application!AJ364="Yes"</f>
        <v>0</v>
      </c>
    </row>
    <row r="31" spans="1:58" ht="12.95" customHeight="1">
      <c r="A31" s="1527"/>
      <c r="B31" s="1527"/>
      <c r="C31" s="1527"/>
      <c r="D31" s="1527"/>
      <c r="E31" s="1527"/>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527"/>
      <c r="AM31" s="1527"/>
      <c r="AN31" s="1527"/>
      <c r="AO31" s="1527"/>
      <c r="AP31" s="1527"/>
      <c r="AQ31" s="1527"/>
      <c r="AR31" s="1527"/>
      <c r="AS31" s="1527"/>
      <c r="AT31" s="1527"/>
      <c r="AU31" s="20"/>
      <c r="AV31" s="20"/>
      <c r="AW31" s="20"/>
      <c r="AX31" s="20"/>
      <c r="AY31" s="20"/>
      <c r="AZ31" s="20"/>
      <c r="BD31" s="1181" t="s">
        <v>2459</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2460</v>
      </c>
      <c r="BE32" s="1183">
        <f>IF(ISNUMBER(Application!W473),W473,0)</f>
        <v>0</v>
      </c>
    </row>
    <row r="33" spans="1:57" ht="12.95" hidden="1" customHeight="1">
      <c r="A33" s="519" t="s">
        <v>1277</v>
      </c>
      <c r="C33" s="519"/>
      <c r="D33" s="519"/>
      <c r="E33" s="519"/>
      <c r="F33" s="519"/>
      <c r="G33" s="519"/>
      <c r="H33" s="519"/>
      <c r="I33" s="519"/>
      <c r="J33" s="519"/>
      <c r="K33" s="519"/>
      <c r="L33" s="519"/>
      <c r="M33" s="519"/>
      <c r="N33" s="519"/>
      <c r="O33" s="1426" t="s">
        <v>669</v>
      </c>
      <c r="P33" s="1426"/>
      <c r="Q33" s="1841" t="s">
        <v>2103</v>
      </c>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41"/>
      <c r="AQ33" s="1841"/>
      <c r="AR33" s="1841"/>
      <c r="AS33" s="1841"/>
      <c r="AT33" s="1841"/>
      <c r="AU33" s="20"/>
      <c r="AV33" s="20"/>
      <c r="AW33" s="20"/>
      <c r="AX33" s="20"/>
      <c r="AY33" s="20"/>
      <c r="BD33" s="1181" t="s">
        <v>2525</v>
      </c>
      <c r="BE33" s="1183" t="str">
        <f>Application!D220</f>
        <v>City of Los Angeles</v>
      </c>
    </row>
    <row r="34" spans="1:57" ht="12.95" hidden="1" customHeight="1">
      <c r="A34" s="1527" t="s">
        <v>2104</v>
      </c>
      <c r="B34" s="1527"/>
      <c r="C34" s="1527"/>
      <c r="D34" s="1527"/>
      <c r="E34" s="1527"/>
      <c r="F34" s="1527"/>
      <c r="G34" s="1527"/>
      <c r="H34" s="1527"/>
      <c r="I34" s="1527"/>
      <c r="J34" s="1527"/>
      <c r="K34" s="1527"/>
      <c r="L34" s="1527"/>
      <c r="M34" s="1527"/>
      <c r="N34" s="1527"/>
      <c r="O34" s="1527"/>
      <c r="P34" s="1527"/>
      <c r="Q34" s="1527"/>
      <c r="R34" s="1527"/>
      <c r="S34" s="1527"/>
      <c r="T34" s="1527"/>
      <c r="U34" s="1527"/>
      <c r="V34" s="1527"/>
      <c r="W34" s="1527"/>
      <c r="X34" s="1527"/>
      <c r="Y34" s="1527"/>
      <c r="Z34" s="1527"/>
      <c r="AA34" s="1527"/>
      <c r="AB34" s="1527"/>
      <c r="AC34" s="1527"/>
      <c r="AD34" s="1527"/>
      <c r="AE34" s="1527"/>
      <c r="AF34" s="1527"/>
      <c r="AG34" s="1527"/>
      <c r="AH34" s="1527"/>
      <c r="AI34" s="1527"/>
      <c r="AJ34" s="1527"/>
      <c r="AK34" s="1527"/>
      <c r="AL34" s="1527"/>
      <c r="AM34" s="1527"/>
      <c r="AN34" s="1527"/>
      <c r="AO34" s="1527"/>
      <c r="AP34" s="1527"/>
      <c r="AQ34" s="1527"/>
      <c r="AR34" s="1527"/>
      <c r="AS34" s="1527"/>
      <c r="AT34" s="1527"/>
      <c r="AU34" s="20"/>
      <c r="AV34" s="20"/>
      <c r="AW34" s="20"/>
      <c r="AX34" s="20"/>
      <c r="AY34" s="20"/>
      <c r="AZ34" s="20"/>
      <c r="BD34" s="1182" t="s">
        <v>2461</v>
      </c>
      <c r="BE34" s="1183" t="str">
        <f>Application!I185</f>
        <v>975 S Manhattan Place</v>
      </c>
    </row>
    <row r="35" spans="1:57" ht="12.95" hidden="1" customHeight="1">
      <c r="A35" s="1527"/>
      <c r="B35" s="1527"/>
      <c r="C35" s="1527"/>
      <c r="D35" s="1527"/>
      <c r="E35" s="1527"/>
      <c r="F35" s="1527"/>
      <c r="G35" s="1527"/>
      <c r="H35" s="1527"/>
      <c r="I35" s="1527"/>
      <c r="J35" s="1527"/>
      <c r="K35" s="1527"/>
      <c r="L35" s="1527"/>
      <c r="M35" s="1527"/>
      <c r="N35" s="1527"/>
      <c r="O35" s="1527"/>
      <c r="P35" s="1527"/>
      <c r="Q35" s="1527"/>
      <c r="R35" s="1527"/>
      <c r="S35" s="1527"/>
      <c r="T35" s="1527"/>
      <c r="U35" s="1527"/>
      <c r="V35" s="1527"/>
      <c r="W35" s="1527"/>
      <c r="X35" s="1527"/>
      <c r="Y35" s="1527"/>
      <c r="Z35" s="1527"/>
      <c r="AA35" s="1527"/>
      <c r="AB35" s="1527"/>
      <c r="AC35" s="1527"/>
      <c r="AD35" s="1527"/>
      <c r="AE35" s="1527"/>
      <c r="AF35" s="1527"/>
      <c r="AG35" s="1527"/>
      <c r="AH35" s="1527"/>
      <c r="AI35" s="1527"/>
      <c r="AJ35" s="1527"/>
      <c r="AK35" s="1527"/>
      <c r="AL35" s="1527"/>
      <c r="AM35" s="1527"/>
      <c r="AN35" s="1527"/>
      <c r="AO35" s="1527"/>
      <c r="AP35" s="1527"/>
      <c r="AQ35" s="1527"/>
      <c r="AR35" s="1527"/>
      <c r="AS35" s="1527"/>
      <c r="AT35" s="1527"/>
      <c r="AU35" s="20"/>
      <c r="AV35" s="20"/>
      <c r="AW35" s="20"/>
      <c r="AX35" s="20"/>
      <c r="AY35" s="20"/>
      <c r="AZ35" s="20"/>
      <c r="BD35" s="1181" t="s">
        <v>2462</v>
      </c>
      <c r="BE35" s="1183" t="str">
        <f>IF(Application!E187="","",Application!E187)</f>
        <v/>
      </c>
    </row>
    <row r="36" spans="1:57" ht="12.95" hidden="1" customHeight="1">
      <c r="A36" s="1527"/>
      <c r="B36" s="1527"/>
      <c r="C36" s="1527"/>
      <c r="D36" s="1527"/>
      <c r="E36" s="1527"/>
      <c r="F36" s="1527"/>
      <c r="G36" s="1527"/>
      <c r="H36" s="1527"/>
      <c r="I36" s="1527"/>
      <c r="J36" s="1527"/>
      <c r="K36" s="1527"/>
      <c r="L36" s="1527"/>
      <c r="M36" s="1527"/>
      <c r="N36" s="1527"/>
      <c r="O36" s="1527"/>
      <c r="P36" s="1527"/>
      <c r="Q36" s="1527"/>
      <c r="R36" s="1527"/>
      <c r="S36" s="1527"/>
      <c r="T36" s="1527"/>
      <c r="U36" s="1527"/>
      <c r="V36" s="1527"/>
      <c r="W36" s="1527"/>
      <c r="X36" s="1527"/>
      <c r="Y36" s="1527"/>
      <c r="Z36" s="1527"/>
      <c r="AA36" s="1527"/>
      <c r="AB36" s="1527"/>
      <c r="AC36" s="1527"/>
      <c r="AD36" s="1527"/>
      <c r="AE36" s="1527"/>
      <c r="AF36" s="1527"/>
      <c r="AG36" s="1527"/>
      <c r="AH36" s="1527"/>
      <c r="AI36" s="1527"/>
      <c r="AJ36" s="1527"/>
      <c r="AK36" s="1527"/>
      <c r="AL36" s="1527"/>
      <c r="AM36" s="1527"/>
      <c r="AN36" s="1527"/>
      <c r="AO36" s="1527"/>
      <c r="AP36" s="1527"/>
      <c r="AQ36" s="1527"/>
      <c r="AR36" s="1527"/>
      <c r="AS36" s="1527"/>
      <c r="AT36" s="1527"/>
      <c r="AU36" s="20"/>
      <c r="AV36" s="20"/>
      <c r="AW36" s="20"/>
      <c r="AX36" s="20"/>
      <c r="AY36" s="20"/>
      <c r="AZ36" s="20"/>
      <c r="BD36" s="1182" t="s">
        <v>2463</v>
      </c>
      <c r="BE36" s="1183" t="str">
        <f>Application!I189</f>
        <v>Los Angeles</v>
      </c>
    </row>
    <row r="37" spans="1:57" ht="12.95" hidden="1" customHeight="1">
      <c r="A37" s="1527"/>
      <c r="B37" s="1527"/>
      <c r="C37" s="1527"/>
      <c r="D37" s="1527"/>
      <c r="E37" s="1527"/>
      <c r="F37" s="1527"/>
      <c r="G37" s="1527"/>
      <c r="H37" s="1527"/>
      <c r="I37" s="1527"/>
      <c r="J37" s="1527"/>
      <c r="K37" s="1527"/>
      <c r="L37" s="1527"/>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7"/>
      <c r="AI37" s="1527"/>
      <c r="AJ37" s="1527"/>
      <c r="AK37" s="1527"/>
      <c r="AL37" s="1527"/>
      <c r="AM37" s="1527"/>
      <c r="AN37" s="1527"/>
      <c r="AO37" s="1527"/>
      <c r="AP37" s="1527"/>
      <c r="AQ37" s="1527"/>
      <c r="AR37" s="1527"/>
      <c r="AS37" s="1527"/>
      <c r="AT37" s="1527"/>
      <c r="AZ37" s="20"/>
      <c r="BD37" s="1181" t="s">
        <v>2464</v>
      </c>
      <c r="BE37" s="1183" t="str">
        <f>Application!T189</f>
        <v>Los Angeles</v>
      </c>
    </row>
    <row r="38" spans="1:57" ht="12.95" hidden="1" customHeight="1">
      <c r="A38" s="3"/>
      <c r="AZ38" s="20"/>
      <c r="BD38" s="1182" t="s">
        <v>2465</v>
      </c>
      <c r="BE38" s="1183">
        <f>Application!I190</f>
        <v>90019</v>
      </c>
    </row>
    <row r="39" spans="1:57" ht="12.95" customHeight="1">
      <c r="A39" s="1266" t="s">
        <v>2105</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2466</v>
      </c>
      <c r="BE39" s="1183">
        <f>Application!AG446</f>
        <v>147</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146</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2467</v>
      </c>
      <c r="BE42" s="1185">
        <f>Application!AC761</f>
        <v>0.59657534246575339</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2468</v>
      </c>
      <c r="BE43" s="1185">
        <f>Application!AH761</f>
        <v>0.59659887064728645</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2469</v>
      </c>
      <c r="BE44" s="1183">
        <f>Application!AC463</f>
        <v>389549.29931972787</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2470</v>
      </c>
      <c r="BE45" s="1183">
        <f>Application!AE433</f>
        <v>1</v>
      </c>
    </row>
    <row r="46" spans="1:57" ht="12.95" customHeight="1">
      <c r="A46" s="1332" t="s">
        <v>2106</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2471</v>
      </c>
      <c r="BE46" s="1183" t="b">
        <f>Application!T195="Yes"</f>
        <v>0</v>
      </c>
    </row>
    <row r="47" spans="1:57"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2472</v>
      </c>
      <c r="BE47" s="1183" t="b">
        <f>Application!T196="Yes"</f>
        <v>1</v>
      </c>
    </row>
    <row r="48" spans="1:57"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2473</v>
      </c>
      <c r="BE48" s="1183" t="str">
        <f>Application!M252</f>
        <v>975 Manhattan, LLC</v>
      </c>
    </row>
    <row r="49" spans="1:57"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2474</v>
      </c>
      <c r="BE49" s="1183" t="str">
        <f>Application!M255</f>
        <v>Garrett Lee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2475</v>
      </c>
      <c r="BE50" s="1183" t="str">
        <f>Application!AA258</f>
        <v>Arden Residential LLC</v>
      </c>
    </row>
    <row r="51" spans="1:57" ht="12.95" customHeight="1">
      <c r="A51" s="1266" t="s">
        <v>2107</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2476</v>
      </c>
      <c r="BE51" s="1183" t="str">
        <f>Application!M260</f>
        <v>Kingdom AX LLC</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2477</v>
      </c>
      <c r="BE52" s="1183" t="str">
        <f>Application!M263</f>
        <v>William Leach</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2478</v>
      </c>
      <c r="BE53" s="1183" t="str">
        <f>Application!AA266</f>
        <v xml:space="preserve">Kingdom Development, Inc. </v>
      </c>
    </row>
    <row r="54" spans="1:57" ht="12.95" customHeight="1">
      <c r="A54" s="1266" t="s">
        <v>2108</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2479</v>
      </c>
      <c r="BE54" s="1183">
        <f>Application!M268</f>
        <v>0</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2480</v>
      </c>
      <c r="BE55" s="1183">
        <f>Application!M271</f>
        <v>0</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2481</v>
      </c>
      <c r="BE56" s="1183">
        <f>Application!AA274</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2482</v>
      </c>
      <c r="BE57" s="1183" t="str">
        <f>Application!H296</f>
        <v>Arden Development, Inc.</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2483</v>
      </c>
      <c r="BE58" s="1183" t="str">
        <f>Application!H297</f>
        <v>3470 Wilshire Blvd. #700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2484</v>
      </c>
      <c r="BE59" s="1183" t="str">
        <f>Application!H298</f>
        <v>Los Angeles, CA 90010</v>
      </c>
    </row>
    <row r="60" spans="1:57" ht="12.95" customHeight="1">
      <c r="A60" s="1266" t="s">
        <v>2109</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2485</v>
      </c>
      <c r="BE60" s="1183" t="str">
        <f>Application!H299</f>
        <v>Garrett Lee</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2486</v>
      </c>
      <c r="BE61" s="1183" t="str">
        <f>Application!H302</f>
        <v>garrettlee@jamisonservices.com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2487</v>
      </c>
      <c r="BE62" s="1186">
        <f>'Basis &amp; Credits'!AB50</f>
        <v>0.88491149735815511</v>
      </c>
    </row>
    <row r="63" spans="1:57" ht="12.95"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2488</v>
      </c>
      <c r="BE64" s="1183" t="b">
        <f>Application!X180="Yes"</f>
        <v>0</v>
      </c>
    </row>
    <row r="65" spans="1:57" ht="12.95" customHeight="1">
      <c r="A65" s="1506" t="s">
        <v>2111</v>
      </c>
      <c r="B65" s="1506"/>
      <c r="C65" s="1506"/>
      <c r="D65" s="1506"/>
      <c r="E65" s="1506"/>
      <c r="F65" s="1506"/>
      <c r="G65" s="1506"/>
      <c r="H65" s="1506"/>
      <c r="I65" s="1506"/>
      <c r="J65" s="1506"/>
      <c r="K65" s="1506"/>
      <c r="L65" s="1506"/>
      <c r="M65" s="1506"/>
      <c r="N65" s="1506"/>
      <c r="O65" s="1506"/>
      <c r="P65" s="1506"/>
      <c r="Q65" s="1506"/>
      <c r="R65" s="1506"/>
      <c r="S65" s="1506"/>
      <c r="T65" s="1506"/>
      <c r="U65" s="1506"/>
      <c r="V65" s="1506"/>
      <c r="W65" s="1506"/>
      <c r="X65" s="1506"/>
      <c r="Y65" s="1506"/>
      <c r="Z65" s="1506"/>
      <c r="AA65" s="1506"/>
      <c r="AB65" s="1506"/>
      <c r="AC65" s="1506"/>
      <c r="AD65" s="1506"/>
      <c r="AE65" s="1506"/>
      <c r="AF65" s="1506"/>
      <c r="AG65" s="1506"/>
      <c r="AH65" s="1506"/>
      <c r="AI65" s="1506"/>
      <c r="AJ65" s="1506"/>
      <c r="AK65" s="1506"/>
      <c r="AL65" s="1506"/>
      <c r="AM65" s="1506"/>
      <c r="AN65" s="1506"/>
      <c r="AO65" s="1506"/>
      <c r="AP65" s="1506"/>
      <c r="AQ65" s="1506"/>
      <c r="AR65" s="1506"/>
      <c r="AS65" s="1506"/>
      <c r="AT65" s="1506"/>
      <c r="AU65" s="21"/>
      <c r="AV65" s="21"/>
      <c r="AW65" s="21"/>
      <c r="AX65" s="21"/>
      <c r="AY65" s="21"/>
      <c r="AZ65" s="20"/>
      <c r="BD65" s="1181" t="s">
        <v>2522</v>
      </c>
      <c r="BE65" s="1183" t="str">
        <f>Z205</f>
        <v>(select)</v>
      </c>
    </row>
    <row r="66" spans="1:57" ht="12.95" customHeight="1">
      <c r="A66" s="1506"/>
      <c r="B66" s="1506"/>
      <c r="C66" s="1506"/>
      <c r="D66" s="1506"/>
      <c r="E66" s="1506"/>
      <c r="F66" s="1506"/>
      <c r="G66" s="1506"/>
      <c r="H66" s="1506"/>
      <c r="I66" s="1506"/>
      <c r="J66" s="1506"/>
      <c r="K66" s="1506"/>
      <c r="L66" s="1506"/>
      <c r="M66" s="1506"/>
      <c r="N66" s="1506"/>
      <c r="O66" s="1506"/>
      <c r="P66" s="1506"/>
      <c r="Q66" s="1506"/>
      <c r="R66" s="1506"/>
      <c r="S66" s="1506"/>
      <c r="T66" s="1506"/>
      <c r="U66" s="1506"/>
      <c r="V66" s="1506"/>
      <c r="W66" s="1506"/>
      <c r="X66" s="1506"/>
      <c r="Y66" s="1506"/>
      <c r="Z66" s="1506"/>
      <c r="AA66" s="1506"/>
      <c r="AB66" s="1506"/>
      <c r="AC66" s="1506"/>
      <c r="AD66" s="1506"/>
      <c r="AE66" s="1506"/>
      <c r="AF66" s="1506"/>
      <c r="AG66" s="1506"/>
      <c r="AH66" s="1506"/>
      <c r="AI66" s="1506"/>
      <c r="AJ66" s="1506"/>
      <c r="AK66" s="1506"/>
      <c r="AL66" s="1506"/>
      <c r="AM66" s="1506"/>
      <c r="AN66" s="1506"/>
      <c r="AO66" s="1506"/>
      <c r="AP66" s="1506"/>
      <c r="AQ66" s="1506"/>
      <c r="AR66" s="1506"/>
      <c r="AS66" s="1506"/>
      <c r="AT66" s="1506"/>
      <c r="AU66" s="21"/>
      <c r="AV66" s="21"/>
      <c r="AW66" s="21"/>
      <c r="AX66" s="21"/>
      <c r="AY66" s="21"/>
      <c r="AZ66" s="20"/>
      <c r="BD66" s="1182" t="s">
        <v>2489</v>
      </c>
      <c r="BE66" s="1183" t="b">
        <f>Application!Z205="State Farmworker Credit"</f>
        <v>0</v>
      </c>
    </row>
    <row r="67" spans="1:57" ht="12.95" customHeight="1">
      <c r="A67" s="1506"/>
      <c r="B67" s="1506"/>
      <c r="C67" s="1506"/>
      <c r="D67" s="1506"/>
      <c r="E67" s="1506"/>
      <c r="F67" s="1506"/>
      <c r="G67" s="1506"/>
      <c r="H67" s="1506"/>
      <c r="I67" s="1506"/>
      <c r="J67" s="1506"/>
      <c r="K67" s="1506"/>
      <c r="L67" s="1506"/>
      <c r="M67" s="1506"/>
      <c r="N67" s="1506"/>
      <c r="O67" s="1506"/>
      <c r="P67" s="1506"/>
      <c r="Q67" s="1506"/>
      <c r="R67" s="1506"/>
      <c r="S67" s="1506"/>
      <c r="T67" s="1506"/>
      <c r="U67" s="1506"/>
      <c r="V67" s="1506"/>
      <c r="W67" s="1506"/>
      <c r="X67" s="1506"/>
      <c r="Y67" s="1506"/>
      <c r="Z67" s="1506"/>
      <c r="AA67" s="1506"/>
      <c r="AB67" s="1506"/>
      <c r="AC67" s="1506"/>
      <c r="AD67" s="1506"/>
      <c r="AE67" s="1506"/>
      <c r="AF67" s="1506"/>
      <c r="AG67" s="1506"/>
      <c r="AH67" s="1506"/>
      <c r="AI67" s="1506"/>
      <c r="AJ67" s="1506"/>
      <c r="AK67" s="1506"/>
      <c r="AL67" s="1506"/>
      <c r="AM67" s="1506"/>
      <c r="AN67" s="1506"/>
      <c r="AO67" s="1506"/>
      <c r="AP67" s="1506"/>
      <c r="AQ67" s="1506"/>
      <c r="AR67" s="1506"/>
      <c r="AS67" s="1506"/>
      <c r="AT67" s="1506"/>
      <c r="AZ67" s="20"/>
      <c r="BD67" s="1181" t="s">
        <v>2490</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2491</v>
      </c>
      <c r="BE68" s="1183">
        <f>'Sources and Uses Budget'!D105</f>
        <v>0</v>
      </c>
    </row>
    <row r="69" spans="1:57" ht="12.95" customHeight="1">
      <c r="A69" s="1506" t="s">
        <v>2112</v>
      </c>
      <c r="B69" s="1506"/>
      <c r="C69" s="1506"/>
      <c r="D69" s="1506"/>
      <c r="E69" s="1506"/>
      <c r="F69" s="1506"/>
      <c r="G69" s="1506"/>
      <c r="H69" s="1506"/>
      <c r="I69" s="1506"/>
      <c r="J69" s="1506"/>
      <c r="K69" s="1506"/>
      <c r="L69" s="1506"/>
      <c r="M69" s="1506"/>
      <c r="N69" s="1506"/>
      <c r="O69" s="1506"/>
      <c r="P69" s="1506"/>
      <c r="Q69" s="1506"/>
      <c r="R69" s="1506"/>
      <c r="S69" s="1506"/>
      <c r="T69" s="1506"/>
      <c r="U69" s="1506"/>
      <c r="V69" s="1506"/>
      <c r="W69" s="1506"/>
      <c r="X69" s="1506"/>
      <c r="Y69" s="1506"/>
      <c r="Z69" s="1506"/>
      <c r="AA69" s="1506"/>
      <c r="AB69" s="1506"/>
      <c r="AC69" s="1506"/>
      <c r="AD69" s="1506"/>
      <c r="AE69" s="1506"/>
      <c r="AF69" s="1506"/>
      <c r="AG69" s="1506"/>
      <c r="AH69" s="1506"/>
      <c r="AI69" s="1506"/>
      <c r="AJ69" s="1506"/>
      <c r="AK69" s="1506"/>
      <c r="AL69" s="1506"/>
      <c r="AM69" s="1506"/>
      <c r="AN69" s="1506"/>
      <c r="AO69" s="1506"/>
      <c r="AP69" s="1506"/>
      <c r="AQ69" s="1506"/>
      <c r="AR69" s="1506"/>
      <c r="AS69" s="1506"/>
      <c r="AT69" s="1506"/>
      <c r="AZ69" s="20"/>
      <c r="BD69" s="1181" t="s">
        <v>2492</v>
      </c>
      <c r="BE69" s="1183" t="str">
        <f>Application!W708</f>
        <v>California Municipal Finance Authority</v>
      </c>
    </row>
    <row r="70" spans="1:57" ht="12.95" customHeight="1">
      <c r="A70" s="1506"/>
      <c r="B70" s="1506"/>
      <c r="C70" s="1506"/>
      <c r="D70" s="1506"/>
      <c r="E70" s="1506"/>
      <c r="F70" s="1506"/>
      <c r="G70" s="1506"/>
      <c r="H70" s="1506"/>
      <c r="I70" s="1506"/>
      <c r="J70" s="1506"/>
      <c r="K70" s="1506"/>
      <c r="L70" s="1506"/>
      <c r="M70" s="1506"/>
      <c r="N70" s="1506"/>
      <c r="O70" s="1506"/>
      <c r="P70" s="1506"/>
      <c r="Q70" s="1506"/>
      <c r="R70" s="1506"/>
      <c r="S70" s="1506"/>
      <c r="T70" s="1506"/>
      <c r="U70" s="1506"/>
      <c r="V70" s="1506"/>
      <c r="W70" s="1506"/>
      <c r="X70" s="1506"/>
      <c r="Y70" s="1506"/>
      <c r="Z70" s="1506"/>
      <c r="AA70" s="1506"/>
      <c r="AB70" s="1506"/>
      <c r="AC70" s="1506"/>
      <c r="AD70" s="1506"/>
      <c r="AE70" s="1506"/>
      <c r="AF70" s="1506"/>
      <c r="AG70" s="1506"/>
      <c r="AH70" s="1506"/>
      <c r="AI70" s="1506"/>
      <c r="AJ70" s="1506"/>
      <c r="AK70" s="1506"/>
      <c r="AL70" s="1506"/>
      <c r="AM70" s="1506"/>
      <c r="AN70" s="1506"/>
      <c r="AO70" s="1506"/>
      <c r="AP70" s="1506"/>
      <c r="AQ70" s="1506"/>
      <c r="AR70" s="1506"/>
      <c r="AS70" s="1506"/>
      <c r="AT70" s="1506"/>
      <c r="AU70" s="20"/>
      <c r="AV70" s="20"/>
      <c r="AW70" s="20"/>
      <c r="AX70" s="20"/>
      <c r="AY70" s="20"/>
      <c r="AZ70" s="20"/>
      <c r="BD70" s="1182" t="s">
        <v>2493</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2618</v>
      </c>
      <c r="BE71" s="1183">
        <f>'Points System'!AF826</f>
        <v>0</v>
      </c>
    </row>
    <row r="72" spans="1:57" ht="12.95" customHeight="1">
      <c r="A72" s="1527" t="s">
        <v>2113</v>
      </c>
      <c r="B72" s="1527"/>
      <c r="C72" s="1527"/>
      <c r="D72" s="1527"/>
      <c r="E72" s="1527"/>
      <c r="F72" s="1527"/>
      <c r="G72" s="1527"/>
      <c r="H72" s="1527"/>
      <c r="I72" s="1527"/>
      <c r="J72" s="1527"/>
      <c r="K72" s="1527"/>
      <c r="L72" s="1527"/>
      <c r="M72" s="1527"/>
      <c r="N72" s="1527"/>
      <c r="O72" s="1527"/>
      <c r="P72" s="1527"/>
      <c r="Q72" s="1527"/>
      <c r="R72" s="1527"/>
      <c r="S72" s="1527"/>
      <c r="T72" s="1527"/>
      <c r="U72" s="1527"/>
      <c r="V72" s="1527"/>
      <c r="W72" s="1527"/>
      <c r="X72" s="1527"/>
      <c r="Y72" s="1527"/>
      <c r="Z72" s="1527"/>
      <c r="AA72" s="1527"/>
      <c r="AB72" s="1527"/>
      <c r="AC72" s="1527"/>
      <c r="AD72" s="1527"/>
      <c r="AE72" s="1527"/>
      <c r="AF72" s="1527"/>
      <c r="AG72" s="1527"/>
      <c r="AH72" s="1527"/>
      <c r="AI72" s="1527"/>
      <c r="AJ72" s="1527"/>
      <c r="AK72" s="1527"/>
      <c r="AL72" s="1527"/>
      <c r="AM72" s="1527"/>
      <c r="AN72" s="1527"/>
      <c r="AO72" s="1527"/>
      <c r="AP72" s="1527"/>
      <c r="AQ72" s="1527"/>
      <c r="AR72" s="1527"/>
      <c r="AS72" s="1527"/>
      <c r="AT72" s="1527"/>
      <c r="AU72" s="20"/>
      <c r="AV72" s="20"/>
      <c r="AW72" s="20"/>
      <c r="AX72" s="20"/>
      <c r="AY72" s="20"/>
      <c r="AZ72" s="20"/>
      <c r="BD72" s="1182" t="s">
        <v>2494</v>
      </c>
      <c r="BE72" s="1183">
        <f>'Points System'!AF827</f>
        <v>10</v>
      </c>
    </row>
    <row r="73" spans="1:57" ht="12.95" customHeight="1">
      <c r="A73" s="1527"/>
      <c r="B73" s="1527"/>
      <c r="C73" s="1527"/>
      <c r="D73" s="1527"/>
      <c r="E73" s="1527"/>
      <c r="F73" s="1527"/>
      <c r="G73" s="1527"/>
      <c r="H73" s="1527"/>
      <c r="I73" s="1527"/>
      <c r="J73" s="1527"/>
      <c r="K73" s="1527"/>
      <c r="L73" s="1527"/>
      <c r="M73" s="1527"/>
      <c r="N73" s="1527"/>
      <c r="O73" s="1527"/>
      <c r="P73" s="1527"/>
      <c r="Q73" s="1527"/>
      <c r="R73" s="1527"/>
      <c r="S73" s="1527"/>
      <c r="T73" s="1527"/>
      <c r="U73" s="1527"/>
      <c r="V73" s="1527"/>
      <c r="W73" s="1527"/>
      <c r="X73" s="1527"/>
      <c r="Y73" s="1527"/>
      <c r="Z73" s="1527"/>
      <c r="AA73" s="1527"/>
      <c r="AB73" s="1527"/>
      <c r="AC73" s="1527"/>
      <c r="AD73" s="1527"/>
      <c r="AE73" s="1527"/>
      <c r="AF73" s="1527"/>
      <c r="AG73" s="1527"/>
      <c r="AH73" s="1527"/>
      <c r="AI73" s="1527"/>
      <c r="AJ73" s="1527"/>
      <c r="AK73" s="1527"/>
      <c r="AL73" s="1527"/>
      <c r="AM73" s="1527"/>
      <c r="AN73" s="1527"/>
      <c r="AO73" s="1527"/>
      <c r="AP73" s="1527"/>
      <c r="AQ73" s="1527"/>
      <c r="AR73" s="1527"/>
      <c r="AS73" s="1527"/>
      <c r="AT73" s="1527"/>
      <c r="AU73" s="20"/>
      <c r="AV73" s="20"/>
      <c r="AW73" s="20"/>
      <c r="AX73" s="20"/>
      <c r="AY73" s="20"/>
      <c r="AZ73" s="20"/>
      <c r="BD73" s="1181" t="s">
        <v>2495</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2496</v>
      </c>
      <c r="BE74" s="1183">
        <f>'Points System'!AF829</f>
        <v>10</v>
      </c>
    </row>
    <row r="75" spans="1:57" ht="12.95" customHeight="1">
      <c r="A75" s="1539" t="s">
        <v>2114</v>
      </c>
      <c r="B75" s="1539"/>
      <c r="C75" s="1539"/>
      <c r="D75" s="1539"/>
      <c r="E75" s="1539"/>
      <c r="F75" s="1539"/>
      <c r="G75" s="1539"/>
      <c r="H75" s="1539"/>
      <c r="I75" s="1539"/>
      <c r="J75" s="1539"/>
      <c r="K75" s="1539"/>
      <c r="L75" s="1539"/>
      <c r="M75" s="1539"/>
      <c r="N75" s="1539"/>
      <c r="O75" s="1539"/>
      <c r="P75" s="1539"/>
      <c r="Q75" s="1539"/>
      <c r="R75" s="1539"/>
      <c r="S75" s="1539"/>
      <c r="T75" s="1539"/>
      <c r="U75" s="1539"/>
      <c r="V75" s="1539"/>
      <c r="W75" s="1539"/>
      <c r="X75" s="1539"/>
      <c r="Y75" s="1539"/>
      <c r="Z75" s="1539"/>
      <c r="AA75" s="1539"/>
      <c r="AB75" s="1539"/>
      <c r="AC75" s="1539"/>
      <c r="AD75" s="1539"/>
      <c r="AE75" s="1539"/>
      <c r="AF75" s="1539"/>
      <c r="AG75" s="1539"/>
      <c r="AH75" s="1539"/>
      <c r="AI75" s="1539"/>
      <c r="AJ75" s="1539"/>
      <c r="AK75" s="1539"/>
      <c r="AL75" s="1539"/>
      <c r="AM75" s="1539"/>
      <c r="AN75" s="1539"/>
      <c r="AO75" s="1539"/>
      <c r="AP75" s="1539"/>
      <c r="AQ75" s="1539"/>
      <c r="AR75" s="1539"/>
      <c r="AS75" s="1539"/>
      <c r="AT75" s="1539"/>
      <c r="AU75" s="20"/>
      <c r="AV75" s="20"/>
      <c r="AW75" s="20"/>
      <c r="AX75" s="20"/>
      <c r="AY75" s="20"/>
      <c r="AZ75" s="20"/>
      <c r="BD75" s="1181" t="s">
        <v>2497</v>
      </c>
      <c r="BE75" s="1183">
        <f>'Points System'!AF830</f>
        <v>10</v>
      </c>
    </row>
    <row r="76" spans="1:57" ht="12.95" customHeight="1">
      <c r="A76" s="1539"/>
      <c r="B76" s="1539"/>
      <c r="C76" s="1539"/>
      <c r="D76" s="1539"/>
      <c r="E76" s="1539"/>
      <c r="F76" s="1539"/>
      <c r="G76" s="1539"/>
      <c r="H76" s="1539"/>
      <c r="I76" s="1539"/>
      <c r="J76" s="1539"/>
      <c r="K76" s="1539"/>
      <c r="L76" s="1539"/>
      <c r="M76" s="1539"/>
      <c r="N76" s="1539"/>
      <c r="O76" s="1539"/>
      <c r="P76" s="1539"/>
      <c r="Q76" s="1539"/>
      <c r="R76" s="1539"/>
      <c r="S76" s="1539"/>
      <c r="T76" s="1539"/>
      <c r="U76" s="1539"/>
      <c r="V76" s="1539"/>
      <c r="W76" s="1539"/>
      <c r="X76" s="1539"/>
      <c r="Y76" s="1539"/>
      <c r="Z76" s="1539"/>
      <c r="AA76" s="1539"/>
      <c r="AB76" s="1539"/>
      <c r="AC76" s="1539"/>
      <c r="AD76" s="1539"/>
      <c r="AE76" s="1539"/>
      <c r="AF76" s="1539"/>
      <c r="AG76" s="1539"/>
      <c r="AH76" s="1539"/>
      <c r="AI76" s="1539"/>
      <c r="AJ76" s="1539"/>
      <c r="AK76" s="1539"/>
      <c r="AL76" s="1539"/>
      <c r="AM76" s="1539"/>
      <c r="AN76" s="1539"/>
      <c r="AO76" s="1539"/>
      <c r="AP76" s="1539"/>
      <c r="AQ76" s="1539"/>
      <c r="AR76" s="1539"/>
      <c r="AS76" s="1539"/>
      <c r="AT76" s="1539"/>
      <c r="AU76" s="20"/>
      <c r="AV76" s="20"/>
      <c r="AW76" s="20"/>
      <c r="AX76" s="20"/>
      <c r="AY76" s="20"/>
      <c r="AZ76" s="17"/>
      <c r="BD76" s="1182" t="s">
        <v>2498</v>
      </c>
      <c r="BE76" s="1183">
        <f>'Points System'!AF833</f>
        <v>10</v>
      </c>
    </row>
    <row r="77" spans="1:57" ht="12.95" customHeight="1">
      <c r="A77" s="1539"/>
      <c r="B77" s="1539"/>
      <c r="C77" s="1539"/>
      <c r="D77" s="1539"/>
      <c r="E77" s="1539"/>
      <c r="F77" s="1539"/>
      <c r="G77" s="1539"/>
      <c r="H77" s="1539"/>
      <c r="I77" s="1539"/>
      <c r="J77" s="1539"/>
      <c r="K77" s="1539"/>
      <c r="L77" s="1539"/>
      <c r="M77" s="1539"/>
      <c r="N77" s="1539"/>
      <c r="O77" s="1539"/>
      <c r="P77" s="1539"/>
      <c r="Q77" s="1539"/>
      <c r="R77" s="1539"/>
      <c r="S77" s="1539"/>
      <c r="T77" s="1539"/>
      <c r="U77" s="1539"/>
      <c r="V77" s="1539"/>
      <c r="W77" s="1539"/>
      <c r="X77" s="1539"/>
      <c r="Y77" s="1539"/>
      <c r="Z77" s="1539"/>
      <c r="AA77" s="1539"/>
      <c r="AB77" s="1539"/>
      <c r="AC77" s="1539"/>
      <c r="AD77" s="1539"/>
      <c r="AE77" s="1539"/>
      <c r="AF77" s="1539"/>
      <c r="AG77" s="1539"/>
      <c r="AH77" s="1539"/>
      <c r="AI77" s="1539"/>
      <c r="AJ77" s="1539"/>
      <c r="AK77" s="1539"/>
      <c r="AL77" s="1539"/>
      <c r="AM77" s="1539"/>
      <c r="AN77" s="1539"/>
      <c r="AO77" s="1539"/>
      <c r="AP77" s="1539"/>
      <c r="AQ77" s="1539"/>
      <c r="AR77" s="1539"/>
      <c r="AS77" s="1539"/>
      <c r="AT77" s="1539"/>
      <c r="AU77" s="20"/>
      <c r="AV77" s="20"/>
      <c r="AW77" s="20"/>
      <c r="AX77" s="20"/>
      <c r="AY77" s="20"/>
      <c r="AZ77" s="17"/>
      <c r="BD77" s="1181" t="s">
        <v>2499</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2500</v>
      </c>
      <c r="BE78" s="1183">
        <f>'Points System'!AF836</f>
        <v>10</v>
      </c>
    </row>
    <row r="79" spans="1:57" ht="12.95" customHeight="1">
      <c r="A79" s="1506" t="s">
        <v>2115</v>
      </c>
      <c r="B79" s="1506"/>
      <c r="C79" s="1506"/>
      <c r="D79" s="1506"/>
      <c r="E79" s="1506"/>
      <c r="F79" s="1506"/>
      <c r="G79" s="1506"/>
      <c r="H79" s="1506"/>
      <c r="I79" s="1506"/>
      <c r="J79" s="1506"/>
      <c r="K79" s="1506"/>
      <c r="L79" s="1506"/>
      <c r="M79" s="1506"/>
      <c r="N79" s="1506"/>
      <c r="O79" s="1506"/>
      <c r="P79" s="1506"/>
      <c r="Q79" s="1506"/>
      <c r="R79" s="1506"/>
      <c r="S79" s="1506"/>
      <c r="T79" s="1506"/>
      <c r="U79" s="1506"/>
      <c r="V79" s="1506"/>
      <c r="W79" s="1506"/>
      <c r="X79" s="1506"/>
      <c r="Y79" s="1506"/>
      <c r="Z79" s="1506"/>
      <c r="AA79" s="1506"/>
      <c r="AB79" s="1506"/>
      <c r="AC79" s="1506"/>
      <c r="AD79" s="1506"/>
      <c r="AE79" s="1506"/>
      <c r="AF79" s="1506"/>
      <c r="AG79" s="1506"/>
      <c r="AH79" s="1506"/>
      <c r="AI79" s="1506"/>
      <c r="AJ79" s="1506"/>
      <c r="AK79" s="1506"/>
      <c r="AL79" s="1506"/>
      <c r="AM79" s="1506"/>
      <c r="AN79" s="1506"/>
      <c r="AO79" s="1506"/>
      <c r="AP79" s="1506"/>
      <c r="AQ79" s="1506"/>
      <c r="AR79" s="1506"/>
      <c r="AS79" s="1506"/>
      <c r="AT79" s="1506"/>
      <c r="AU79" s="20"/>
      <c r="AV79" s="20"/>
      <c r="AW79" s="20"/>
      <c r="AX79" s="20"/>
      <c r="AY79" s="20"/>
      <c r="AZ79" s="20"/>
      <c r="BD79" s="1181" t="s">
        <v>2619</v>
      </c>
      <c r="BE79" s="1183">
        <f>'Points System'!AF837</f>
        <v>9</v>
      </c>
    </row>
    <row r="80" spans="1:57" ht="12.95" customHeight="1">
      <c r="A80" s="1506"/>
      <c r="B80" s="1506"/>
      <c r="C80" s="1506"/>
      <c r="D80" s="1506"/>
      <c r="E80" s="1506"/>
      <c r="F80" s="1506"/>
      <c r="G80" s="1506"/>
      <c r="H80" s="1506"/>
      <c r="I80" s="1506"/>
      <c r="J80" s="1506"/>
      <c r="K80" s="1506"/>
      <c r="L80" s="1506"/>
      <c r="M80" s="1506"/>
      <c r="N80" s="1506"/>
      <c r="O80" s="1506"/>
      <c r="P80" s="1506"/>
      <c r="Q80" s="1506"/>
      <c r="R80" s="1506"/>
      <c r="S80" s="1506"/>
      <c r="T80" s="1506"/>
      <c r="U80" s="1506"/>
      <c r="V80" s="1506"/>
      <c r="W80" s="1506"/>
      <c r="X80" s="1506"/>
      <c r="Y80" s="1506"/>
      <c r="Z80" s="1506"/>
      <c r="AA80" s="1506"/>
      <c r="AB80" s="1506"/>
      <c r="AC80" s="1506"/>
      <c r="AD80" s="1506"/>
      <c r="AE80" s="1506"/>
      <c r="AF80" s="1506"/>
      <c r="AG80" s="1506"/>
      <c r="AH80" s="1506"/>
      <c r="AI80" s="1506"/>
      <c r="AJ80" s="1506"/>
      <c r="AK80" s="1506"/>
      <c r="AL80" s="1506"/>
      <c r="AM80" s="1506"/>
      <c r="AN80" s="1506"/>
      <c r="AO80" s="1506"/>
      <c r="AP80" s="1506"/>
      <c r="AQ80" s="1506"/>
      <c r="AR80" s="1506"/>
      <c r="AS80" s="1506"/>
      <c r="AT80" s="1506"/>
      <c r="AU80" s="20"/>
      <c r="AV80" s="20"/>
      <c r="AW80" s="20"/>
      <c r="AX80" s="20"/>
      <c r="AY80" s="20"/>
      <c r="AZ80" s="20"/>
      <c r="BD80" s="1182" t="s">
        <v>2501</v>
      </c>
      <c r="BE80" s="1183">
        <f>'Points System'!AF839</f>
        <v>10</v>
      </c>
    </row>
    <row r="81" spans="1:57" ht="12.95" customHeight="1">
      <c r="A81" s="1506"/>
      <c r="B81" s="1506"/>
      <c r="C81" s="1506"/>
      <c r="D81" s="1506"/>
      <c r="E81" s="1506"/>
      <c r="F81" s="1506"/>
      <c r="G81" s="1506"/>
      <c r="H81" s="1506"/>
      <c r="I81" s="1506"/>
      <c r="J81" s="1506"/>
      <c r="K81" s="1506"/>
      <c r="L81" s="1506"/>
      <c r="M81" s="1506"/>
      <c r="N81" s="1506"/>
      <c r="O81" s="1506"/>
      <c r="P81" s="1506"/>
      <c r="Q81" s="1506"/>
      <c r="R81" s="1506"/>
      <c r="S81" s="1506"/>
      <c r="T81" s="1506"/>
      <c r="U81" s="1506"/>
      <c r="V81" s="1506"/>
      <c r="W81" s="1506"/>
      <c r="X81" s="1506"/>
      <c r="Y81" s="1506"/>
      <c r="Z81" s="1506"/>
      <c r="AA81" s="1506"/>
      <c r="AB81" s="1506"/>
      <c r="AC81" s="1506"/>
      <c r="AD81" s="1506"/>
      <c r="AE81" s="1506"/>
      <c r="AF81" s="1506"/>
      <c r="AG81" s="1506"/>
      <c r="AH81" s="1506"/>
      <c r="AI81" s="1506"/>
      <c r="AJ81" s="1506"/>
      <c r="AK81" s="1506"/>
      <c r="AL81" s="1506"/>
      <c r="AM81" s="1506"/>
      <c r="AN81" s="1506"/>
      <c r="AO81" s="1506"/>
      <c r="AP81" s="1506"/>
      <c r="AQ81" s="1506"/>
      <c r="AR81" s="1506"/>
      <c r="AS81" s="1506"/>
      <c r="AT81" s="1506"/>
      <c r="AU81" s="20"/>
      <c r="AV81" s="20"/>
      <c r="AW81" s="20"/>
      <c r="AX81" s="20"/>
      <c r="AY81" s="20"/>
      <c r="AZ81" s="20"/>
      <c r="BD81" s="1181" t="s">
        <v>2502</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2503</v>
      </c>
      <c r="BE82" s="1183">
        <f>'Points System'!AF841</f>
        <v>10</v>
      </c>
    </row>
    <row r="83" spans="1:57" ht="12.95" customHeight="1">
      <c r="A83" s="1266" t="s">
        <v>2116</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2504</v>
      </c>
      <c r="BE83" s="1187">
        <f>'Tie Breaker'!H5</f>
        <v>3.0224617133026528</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2505</v>
      </c>
      <c r="BE84" s="1183"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2506</v>
      </c>
      <c r="BE85" s="1183" t="str">
        <f>Application!O154</f>
        <v>Timothy Elliot</v>
      </c>
    </row>
    <row r="86" spans="1:57" ht="12.95" customHeight="1">
      <c r="A86" s="1266" t="s">
        <v>2117</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2507</v>
      </c>
      <c r="BE86" s="1183" t="str">
        <f>Application!O155</f>
        <v>City Manager</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2508</v>
      </c>
      <c r="BE87" s="1183"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2509</v>
      </c>
      <c r="BE88" s="1183" t="str">
        <f>Application!O157</f>
        <v>Los Angeles</v>
      </c>
    </row>
    <row r="89" spans="1:57" ht="12.95" customHeight="1">
      <c r="A89" s="1549" t="s">
        <v>2118</v>
      </c>
      <c r="B89" s="1549"/>
      <c r="C89" s="1549"/>
      <c r="D89" s="1549"/>
      <c r="E89" s="1549"/>
      <c r="F89" s="1549"/>
      <c r="G89" s="1549"/>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549"/>
      <c r="AM89" s="1549"/>
      <c r="AN89" s="1549"/>
      <c r="AO89" s="1549"/>
      <c r="AP89" s="1549"/>
      <c r="AQ89" s="1549"/>
      <c r="AR89" s="1549"/>
      <c r="AS89" s="1549"/>
      <c r="AT89" s="1549"/>
      <c r="AU89" s="17"/>
      <c r="AV89" s="17"/>
      <c r="AW89" s="17"/>
      <c r="AX89" s="17"/>
      <c r="AY89" s="17"/>
      <c r="AZ89" s="20"/>
      <c r="BD89" s="1181" t="s">
        <v>2510</v>
      </c>
      <c r="BE89" s="1183">
        <f>Application!O158</f>
        <v>90017</v>
      </c>
    </row>
    <row r="90" spans="1:57" ht="12.95" customHeight="1">
      <c r="A90" s="1549"/>
      <c r="B90" s="1549"/>
      <c r="C90" s="1549"/>
      <c r="D90" s="1549"/>
      <c r="E90" s="1549"/>
      <c r="F90" s="1549"/>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549"/>
      <c r="AM90" s="1549"/>
      <c r="AN90" s="1549"/>
      <c r="AO90" s="1549"/>
      <c r="AP90" s="1549"/>
      <c r="AQ90" s="1549"/>
      <c r="AR90" s="1549"/>
      <c r="AS90" s="1549"/>
      <c r="AT90" s="1549"/>
      <c r="AU90" s="17"/>
      <c r="AV90" s="17"/>
      <c r="AW90" s="17"/>
      <c r="AX90" s="17"/>
      <c r="AY90" s="17"/>
      <c r="AZ90" s="20"/>
      <c r="BD90" s="1182" t="s">
        <v>2511</v>
      </c>
      <c r="BE90" s="1183" t="str">
        <f>Application!H16</f>
        <v>975 Manhattan,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2512</v>
      </c>
      <c r="BE91" s="1183" t="str">
        <f>Application!M242</f>
        <v>3470 Wilshire Blvd, Suite 700</v>
      </c>
    </row>
    <row r="92" spans="1:57" ht="12.95" customHeight="1">
      <c r="A92" s="1539" t="s">
        <v>2119</v>
      </c>
      <c r="B92" s="1539"/>
      <c r="C92" s="1539"/>
      <c r="D92" s="1539"/>
      <c r="E92" s="1539"/>
      <c r="F92" s="1539"/>
      <c r="G92" s="1539"/>
      <c r="H92" s="1539"/>
      <c r="I92" s="1539"/>
      <c r="J92" s="1539"/>
      <c r="K92" s="1539"/>
      <c r="L92" s="1539"/>
      <c r="M92" s="1539"/>
      <c r="N92" s="1539"/>
      <c r="O92" s="1539"/>
      <c r="P92" s="1539"/>
      <c r="Q92" s="1539"/>
      <c r="R92" s="1539"/>
      <c r="S92" s="1539"/>
      <c r="T92" s="1539"/>
      <c r="U92" s="1539"/>
      <c r="V92" s="1539"/>
      <c r="W92" s="1539"/>
      <c r="X92" s="1539"/>
      <c r="Y92" s="1539"/>
      <c r="Z92" s="1539"/>
      <c r="AA92" s="1539"/>
      <c r="AB92" s="1539"/>
      <c r="AC92" s="1539"/>
      <c r="AD92" s="1539"/>
      <c r="AE92" s="1539"/>
      <c r="AF92" s="1539"/>
      <c r="AG92" s="1539"/>
      <c r="AH92" s="1539"/>
      <c r="AI92" s="1539"/>
      <c r="AJ92" s="1539"/>
      <c r="AK92" s="1539"/>
      <c r="AL92" s="1539"/>
      <c r="AM92" s="1539"/>
      <c r="AN92" s="1539"/>
      <c r="AO92" s="1539"/>
      <c r="AP92" s="1539"/>
      <c r="AQ92" s="1539"/>
      <c r="AR92" s="1539"/>
      <c r="AS92" s="1539"/>
      <c r="AT92" s="1539"/>
      <c r="AU92" s="20"/>
      <c r="AV92" s="20"/>
      <c r="AW92" s="20"/>
      <c r="AX92" s="20"/>
      <c r="AY92" s="20"/>
      <c r="AZ92" s="20"/>
      <c r="BD92" s="1182" t="s">
        <v>2513</v>
      </c>
      <c r="BE92" s="1183" t="str">
        <f>Application!M243</f>
        <v>Los Angeles</v>
      </c>
    </row>
    <row r="93" spans="1:57" ht="12.95" customHeight="1">
      <c r="A93" s="1539"/>
      <c r="B93" s="1539"/>
      <c r="C93" s="1539"/>
      <c r="D93" s="1539"/>
      <c r="E93" s="1539"/>
      <c r="F93" s="1539"/>
      <c r="G93" s="1539"/>
      <c r="H93" s="1539"/>
      <c r="I93" s="1539"/>
      <c r="J93" s="1539"/>
      <c r="K93" s="1539"/>
      <c r="L93" s="1539"/>
      <c r="M93" s="1539"/>
      <c r="N93" s="1539"/>
      <c r="O93" s="1539"/>
      <c r="P93" s="1539"/>
      <c r="Q93" s="1539"/>
      <c r="R93" s="1539"/>
      <c r="S93" s="1539"/>
      <c r="T93" s="1539"/>
      <c r="U93" s="1539"/>
      <c r="V93" s="1539"/>
      <c r="W93" s="1539"/>
      <c r="X93" s="1539"/>
      <c r="Y93" s="1539"/>
      <c r="Z93" s="1539"/>
      <c r="AA93" s="1539"/>
      <c r="AB93" s="1539"/>
      <c r="AC93" s="1539"/>
      <c r="AD93" s="1539"/>
      <c r="AE93" s="1539"/>
      <c r="AF93" s="1539"/>
      <c r="AG93" s="1539"/>
      <c r="AH93" s="1539"/>
      <c r="AI93" s="1539"/>
      <c r="AJ93" s="1539"/>
      <c r="AK93" s="1539"/>
      <c r="AL93" s="1539"/>
      <c r="AM93" s="1539"/>
      <c r="AN93" s="1539"/>
      <c r="AO93" s="1539"/>
      <c r="AP93" s="1539"/>
      <c r="AQ93" s="1539"/>
      <c r="AR93" s="1539"/>
      <c r="AS93" s="1539"/>
      <c r="AT93" s="1539"/>
      <c r="AU93" s="20"/>
      <c r="AV93" s="20"/>
      <c r="AW93" s="20"/>
      <c r="AX93" s="20"/>
      <c r="AY93" s="20"/>
      <c r="AZ93" s="20"/>
      <c r="BD93" s="1181" t="s">
        <v>2514</v>
      </c>
      <c r="BE93" s="1183" t="str">
        <f>Application!W243</f>
        <v>CA</v>
      </c>
    </row>
    <row r="94" spans="1:57" ht="12.95" customHeight="1">
      <c r="A94" s="1539"/>
      <c r="B94" s="1539"/>
      <c r="C94" s="1539"/>
      <c r="D94" s="1539"/>
      <c r="E94" s="1539"/>
      <c r="F94" s="1539"/>
      <c r="G94" s="1539"/>
      <c r="H94" s="1539"/>
      <c r="I94" s="1539"/>
      <c r="J94" s="1539"/>
      <c r="K94" s="1539"/>
      <c r="L94" s="1539"/>
      <c r="M94" s="1539"/>
      <c r="N94" s="1539"/>
      <c r="O94" s="1539"/>
      <c r="P94" s="1539"/>
      <c r="Q94" s="1539"/>
      <c r="R94" s="1539"/>
      <c r="S94" s="1539"/>
      <c r="T94" s="1539"/>
      <c r="U94" s="1539"/>
      <c r="V94" s="1539"/>
      <c r="W94" s="1539"/>
      <c r="X94" s="1539"/>
      <c r="Y94" s="1539"/>
      <c r="Z94" s="1539"/>
      <c r="AA94" s="1539"/>
      <c r="AB94" s="1539"/>
      <c r="AC94" s="1539"/>
      <c r="AD94" s="1539"/>
      <c r="AE94" s="1539"/>
      <c r="AF94" s="1539"/>
      <c r="AG94" s="1539"/>
      <c r="AH94" s="1539"/>
      <c r="AI94" s="1539"/>
      <c r="AJ94" s="1539"/>
      <c r="AK94" s="1539"/>
      <c r="AL94" s="1539"/>
      <c r="AM94" s="1539"/>
      <c r="AN94" s="1539"/>
      <c r="AO94" s="1539"/>
      <c r="AP94" s="1539"/>
      <c r="AQ94" s="1539"/>
      <c r="AR94" s="1539"/>
      <c r="AS94" s="1539"/>
      <c r="AT94" s="1539"/>
      <c r="AU94" s="20"/>
      <c r="AV94" s="20"/>
      <c r="AW94" s="20"/>
      <c r="AX94" s="20"/>
      <c r="AY94" s="20"/>
      <c r="AZ94" s="20"/>
      <c r="BD94" s="1182" t="s">
        <v>2515</v>
      </c>
      <c r="BE94" s="1183">
        <f>Application!AC243</f>
        <v>90010</v>
      </c>
    </row>
    <row r="95" spans="1:57" ht="12.95" customHeight="1">
      <c r="A95" s="1539"/>
      <c r="B95" s="1539"/>
      <c r="C95" s="1539"/>
      <c r="D95" s="1539"/>
      <c r="E95" s="1539"/>
      <c r="F95" s="1539"/>
      <c r="G95" s="1539"/>
      <c r="H95" s="1539"/>
      <c r="I95" s="1539"/>
      <c r="J95" s="1539"/>
      <c r="K95" s="1539"/>
      <c r="L95" s="1539"/>
      <c r="M95" s="1539"/>
      <c r="N95" s="1539"/>
      <c r="O95" s="1539"/>
      <c r="P95" s="1539"/>
      <c r="Q95" s="1539"/>
      <c r="R95" s="1539"/>
      <c r="S95" s="1539"/>
      <c r="T95" s="1539"/>
      <c r="U95" s="1539"/>
      <c r="V95" s="1539"/>
      <c r="W95" s="1539"/>
      <c r="X95" s="1539"/>
      <c r="Y95" s="1539"/>
      <c r="Z95" s="1539"/>
      <c r="AA95" s="1539"/>
      <c r="AB95" s="1539"/>
      <c r="AC95" s="1539"/>
      <c r="AD95" s="1539"/>
      <c r="AE95" s="1539"/>
      <c r="AF95" s="1539"/>
      <c r="AG95" s="1539"/>
      <c r="AH95" s="1539"/>
      <c r="AI95" s="1539"/>
      <c r="AJ95" s="1539"/>
      <c r="AK95" s="1539"/>
      <c r="AL95" s="1539"/>
      <c r="AM95" s="1539"/>
      <c r="AN95" s="1539"/>
      <c r="AO95" s="1539"/>
      <c r="AP95" s="1539"/>
      <c r="AQ95" s="1539"/>
      <c r="AR95" s="1539"/>
      <c r="AS95" s="1539"/>
      <c r="AT95" s="1539"/>
      <c r="AU95" s="20"/>
      <c r="AV95" s="20"/>
      <c r="AW95" s="20"/>
      <c r="AX95" s="20"/>
      <c r="AY95" s="20"/>
      <c r="AZ95" s="20"/>
      <c r="BD95" s="1181" t="s">
        <v>2516</v>
      </c>
      <c r="BE95" s="1183" t="str">
        <f>Application!M244</f>
        <v>Garrett Lee</v>
      </c>
    </row>
    <row r="96" spans="1:57" ht="12.95" customHeight="1">
      <c r="A96" s="1539"/>
      <c r="B96" s="1539"/>
      <c r="C96" s="1539"/>
      <c r="D96" s="1539"/>
      <c r="E96" s="1539"/>
      <c r="F96" s="1539"/>
      <c r="G96" s="1539"/>
      <c r="H96" s="1539"/>
      <c r="I96" s="1539"/>
      <c r="J96" s="1539"/>
      <c r="K96" s="1539"/>
      <c r="L96" s="1539"/>
      <c r="M96" s="1539"/>
      <c r="N96" s="1539"/>
      <c r="O96" s="1539"/>
      <c r="P96" s="1539"/>
      <c r="Q96" s="1539"/>
      <c r="R96" s="1539"/>
      <c r="S96" s="1539"/>
      <c r="T96" s="1539"/>
      <c r="U96" s="1539"/>
      <c r="V96" s="1539"/>
      <c r="W96" s="1539"/>
      <c r="X96" s="1539"/>
      <c r="Y96" s="1539"/>
      <c r="Z96" s="1539"/>
      <c r="AA96" s="1539"/>
      <c r="AB96" s="1539"/>
      <c r="AC96" s="1539"/>
      <c r="AD96" s="1539"/>
      <c r="AE96" s="1539"/>
      <c r="AF96" s="1539"/>
      <c r="AG96" s="1539"/>
      <c r="AH96" s="1539"/>
      <c r="AI96" s="1539"/>
      <c r="AJ96" s="1539"/>
      <c r="AK96" s="1539"/>
      <c r="AL96" s="1539"/>
      <c r="AM96" s="1539"/>
      <c r="AN96" s="1539"/>
      <c r="AO96" s="1539"/>
      <c r="AP96" s="1539"/>
      <c r="AQ96" s="1539"/>
      <c r="AR96" s="1539"/>
      <c r="AS96" s="1539"/>
      <c r="AT96" s="1539"/>
      <c r="AU96" s="20"/>
      <c r="AV96" s="20"/>
      <c r="AW96" s="20"/>
      <c r="AX96" s="20"/>
      <c r="AY96" s="20"/>
      <c r="AZ96" s="20"/>
      <c r="BD96" s="1182" t="s">
        <v>2517</v>
      </c>
      <c r="BE96" s="1183" t="str">
        <f>Application!M246</f>
        <v>garrettlee@jamisonservices.com</v>
      </c>
    </row>
    <row r="97" spans="1:57" ht="12.95" customHeight="1">
      <c r="A97" s="1539"/>
      <c r="B97" s="1539"/>
      <c r="C97" s="1539"/>
      <c r="D97" s="1539"/>
      <c r="E97" s="1539"/>
      <c r="F97" s="1539"/>
      <c r="G97" s="1539"/>
      <c r="H97" s="1539"/>
      <c r="I97" s="1539"/>
      <c r="J97" s="1539"/>
      <c r="K97" s="1539"/>
      <c r="L97" s="1539"/>
      <c r="M97" s="1539"/>
      <c r="N97" s="1539"/>
      <c r="O97" s="1539"/>
      <c r="P97" s="1539"/>
      <c r="Q97" s="1539"/>
      <c r="R97" s="1539"/>
      <c r="S97" s="1539"/>
      <c r="T97" s="1539"/>
      <c r="U97" s="1539"/>
      <c r="V97" s="1539"/>
      <c r="W97" s="1539"/>
      <c r="X97" s="1539"/>
      <c r="Y97" s="1539"/>
      <c r="Z97" s="1539"/>
      <c r="AA97" s="1539"/>
      <c r="AB97" s="1539"/>
      <c r="AC97" s="1539"/>
      <c r="AD97" s="1539"/>
      <c r="AE97" s="1539"/>
      <c r="AF97" s="1539"/>
      <c r="AG97" s="1539"/>
      <c r="AH97" s="1539"/>
      <c r="AI97" s="1539"/>
      <c r="AJ97" s="1539"/>
      <c r="AK97" s="1539"/>
      <c r="AL97" s="1539"/>
      <c r="AM97" s="1539"/>
      <c r="AN97" s="1539"/>
      <c r="AO97" s="1539"/>
      <c r="AP97" s="1539"/>
      <c r="AQ97" s="1539"/>
      <c r="AR97" s="1539"/>
      <c r="AS97" s="1539"/>
      <c r="AT97" s="1539"/>
      <c r="AU97" s="20"/>
      <c r="AV97" s="20"/>
      <c r="AW97" s="20"/>
      <c r="AX97" s="20"/>
      <c r="AY97" s="20"/>
      <c r="AZ97" s="20"/>
      <c r="BD97" s="1181" t="s">
        <v>2518</v>
      </c>
      <c r="BE97" s="1183" t="str">
        <f>Application!M257</f>
        <v>garrettlee@jamisonservices.com</v>
      </c>
    </row>
    <row r="98" spans="1:57" ht="12.95" customHeight="1">
      <c r="A98" s="1539"/>
      <c r="B98" s="1539"/>
      <c r="C98" s="1539"/>
      <c r="D98" s="1539"/>
      <c r="E98" s="1539"/>
      <c r="F98" s="1539"/>
      <c r="G98" s="1539"/>
      <c r="H98" s="1539"/>
      <c r="I98" s="1539"/>
      <c r="J98" s="1539"/>
      <c r="K98" s="1539"/>
      <c r="L98" s="1539"/>
      <c r="M98" s="1539"/>
      <c r="N98" s="1539"/>
      <c r="O98" s="1539"/>
      <c r="P98" s="1539"/>
      <c r="Q98" s="1539"/>
      <c r="R98" s="1539"/>
      <c r="S98" s="1539"/>
      <c r="T98" s="1539"/>
      <c r="U98" s="1539"/>
      <c r="V98" s="1539"/>
      <c r="W98" s="1539"/>
      <c r="X98" s="1539"/>
      <c r="Y98" s="1539"/>
      <c r="Z98" s="1539"/>
      <c r="AA98" s="1539"/>
      <c r="AB98" s="1539"/>
      <c r="AC98" s="1539"/>
      <c r="AD98" s="1539"/>
      <c r="AE98" s="1539"/>
      <c r="AF98" s="1539"/>
      <c r="AG98" s="1539"/>
      <c r="AH98" s="1539"/>
      <c r="AI98" s="1539"/>
      <c r="AJ98" s="1539"/>
      <c r="AK98" s="1539"/>
      <c r="AL98" s="1539"/>
      <c r="AM98" s="1539"/>
      <c r="AN98" s="1539"/>
      <c r="AO98" s="1539"/>
      <c r="AP98" s="1539"/>
      <c r="AQ98" s="1539"/>
      <c r="AR98" s="1539"/>
      <c r="AS98" s="1539"/>
      <c r="AT98" s="1539"/>
      <c r="AU98" s="20"/>
      <c r="AV98" s="20"/>
      <c r="AW98" s="20"/>
      <c r="AX98" s="20"/>
      <c r="AY98" s="20"/>
      <c r="AZ98" s="20"/>
      <c r="BD98" s="1182" t="s">
        <v>2519</v>
      </c>
      <c r="BE98" s="1183" t="str">
        <f>Application!M265</f>
        <v>william@kingdomdevelopment.net</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2520</v>
      </c>
      <c r="BE99" s="1183">
        <f>Application!M273</f>
        <v>0</v>
      </c>
    </row>
    <row r="100" spans="1:57" ht="12.95" customHeight="1">
      <c r="A100" s="1550" t="s">
        <v>2120</v>
      </c>
      <c r="B100" s="1550"/>
      <c r="C100" s="1550"/>
      <c r="D100" s="1550"/>
      <c r="E100" s="1550"/>
      <c r="F100" s="1550"/>
      <c r="G100" s="1550"/>
      <c r="H100" s="1550"/>
      <c r="I100" s="1550"/>
      <c r="J100" s="1550"/>
      <c r="K100" s="1550"/>
      <c r="L100" s="1550"/>
      <c r="M100" s="1550"/>
      <c r="N100" s="1550"/>
      <c r="O100" s="1550"/>
      <c r="P100" s="1550"/>
      <c r="Q100" s="1550"/>
      <c r="R100" s="1550"/>
      <c r="S100" s="1550"/>
      <c r="T100" s="1550"/>
      <c r="U100" s="1550"/>
      <c r="V100" s="1550"/>
      <c r="W100" s="1550"/>
      <c r="X100" s="1550"/>
      <c r="Y100" s="1550"/>
      <c r="Z100" s="1550"/>
      <c r="AA100" s="1550"/>
      <c r="AB100" s="1550"/>
      <c r="AC100" s="1550"/>
      <c r="AD100" s="1550"/>
      <c r="AE100" s="1550"/>
      <c r="AF100" s="1550"/>
      <c r="AG100" s="1550"/>
      <c r="AH100" s="1550"/>
      <c r="AI100" s="1550"/>
      <c r="AJ100" s="1550"/>
      <c r="AK100" s="1550"/>
      <c r="AL100" s="1550"/>
      <c r="AM100" s="1550"/>
      <c r="AN100" s="1550"/>
      <c r="AO100" s="1550"/>
      <c r="AP100" s="1550"/>
      <c r="AQ100" s="1550"/>
      <c r="AR100" s="1550"/>
      <c r="AS100" s="1550"/>
      <c r="AT100" s="1550"/>
      <c r="AU100" s="20"/>
      <c r="AV100" s="20"/>
      <c r="AW100" s="20"/>
      <c r="AX100" s="20"/>
      <c r="AY100" s="20"/>
      <c r="AZ100" s="20"/>
      <c r="BD100" s="1182" t="s">
        <v>2521</v>
      </c>
      <c r="BE100" s="1183" t="str">
        <f>Application!L288</f>
        <v>william@kingdomdevelopment.net</v>
      </c>
    </row>
    <row r="101" spans="1:57" ht="12.95" customHeight="1">
      <c r="A101" s="1550"/>
      <c r="B101" s="1550"/>
      <c r="C101" s="1550"/>
      <c r="D101" s="1550"/>
      <c r="E101" s="1550"/>
      <c r="F101" s="1550"/>
      <c r="G101" s="1550"/>
      <c r="H101" s="1550"/>
      <c r="I101" s="1550"/>
      <c r="J101" s="1550"/>
      <c r="K101" s="1550"/>
      <c r="L101" s="1550"/>
      <c r="M101" s="1550"/>
      <c r="N101" s="1550"/>
      <c r="O101" s="1550"/>
      <c r="P101" s="1550"/>
      <c r="Q101" s="1550"/>
      <c r="R101" s="1550"/>
      <c r="S101" s="1550"/>
      <c r="T101" s="1550"/>
      <c r="U101" s="1550"/>
      <c r="V101" s="1550"/>
      <c r="W101" s="1550"/>
      <c r="X101" s="1550"/>
      <c r="Y101" s="1550"/>
      <c r="Z101" s="1550"/>
      <c r="AA101" s="1550"/>
      <c r="AB101" s="1550"/>
      <c r="AC101" s="1550"/>
      <c r="AD101" s="1550"/>
      <c r="AE101" s="1550"/>
      <c r="AF101" s="1550"/>
      <c r="AG101" s="1550"/>
      <c r="AH101" s="1550"/>
      <c r="AI101" s="1550"/>
      <c r="AJ101" s="1550"/>
      <c r="AK101" s="1550"/>
      <c r="AL101" s="1550"/>
      <c r="AM101" s="1550"/>
      <c r="AN101" s="1550"/>
      <c r="AO101" s="1550"/>
      <c r="AP101" s="1550"/>
      <c r="AQ101" s="1550"/>
      <c r="AR101" s="1550"/>
      <c r="AS101" s="1550"/>
      <c r="AT101" s="1550"/>
      <c r="AU101" s="20"/>
      <c r="AV101" s="20"/>
      <c r="AW101" s="20"/>
      <c r="AX101" s="20"/>
      <c r="AY101" s="20"/>
      <c r="AZ101" s="20"/>
      <c r="BD101" s="3" t="s">
        <v>2526</v>
      </c>
      <c r="BE101">
        <f>'Sources and Uses Budget'!C105</f>
        <v>57263747</v>
      </c>
    </row>
    <row r="102" spans="1:57" ht="12.95" customHeight="1">
      <c r="A102" s="1550"/>
      <c r="B102" s="1550"/>
      <c r="C102" s="1550"/>
      <c r="D102" s="1550"/>
      <c r="E102" s="1550"/>
      <c r="F102" s="1550"/>
      <c r="G102" s="1550"/>
      <c r="H102" s="1550"/>
      <c r="I102" s="1550"/>
      <c r="J102" s="1550"/>
      <c r="K102" s="1550"/>
      <c r="L102" s="1550"/>
      <c r="M102" s="1550"/>
      <c r="N102" s="1550"/>
      <c r="O102" s="1550"/>
      <c r="P102" s="1550"/>
      <c r="Q102" s="1550"/>
      <c r="R102" s="1550"/>
      <c r="S102" s="1550"/>
      <c r="T102" s="1550"/>
      <c r="U102" s="1550"/>
      <c r="V102" s="1550"/>
      <c r="W102" s="1550"/>
      <c r="X102" s="1550"/>
      <c r="Y102" s="1550"/>
      <c r="Z102" s="1550"/>
      <c r="AA102" s="1550"/>
      <c r="AB102" s="1550"/>
      <c r="AC102" s="1550"/>
      <c r="AD102" s="1550"/>
      <c r="AE102" s="1550"/>
      <c r="AF102" s="1550"/>
      <c r="AG102" s="1550"/>
      <c r="AH102" s="1550"/>
      <c r="AI102" s="1550"/>
      <c r="AJ102" s="1550"/>
      <c r="AK102" s="1550"/>
      <c r="AL102" s="1550"/>
      <c r="AM102" s="1550"/>
      <c r="AN102" s="1550"/>
      <c r="AO102" s="1550"/>
      <c r="AP102" s="1550"/>
      <c r="AQ102" s="1550"/>
      <c r="AR102" s="1550"/>
      <c r="AS102" s="1550"/>
      <c r="AT102" s="1550"/>
      <c r="AU102" s="20"/>
      <c r="AV102" s="20"/>
      <c r="AW102" s="20"/>
      <c r="AX102" s="20"/>
      <c r="AY102" s="20"/>
      <c r="AZ102" s="20"/>
      <c r="BD102" s="3" t="s">
        <v>2527</v>
      </c>
      <c r="BE102" t="b">
        <f>T197="Yes"</f>
        <v>0</v>
      </c>
    </row>
    <row r="103" spans="1:57" ht="12.95" customHeight="1">
      <c r="A103" s="1550"/>
      <c r="B103" s="1550"/>
      <c r="C103" s="1550"/>
      <c r="D103" s="1550"/>
      <c r="E103" s="1550"/>
      <c r="F103" s="1550"/>
      <c r="G103" s="1550"/>
      <c r="H103" s="1550"/>
      <c r="I103" s="1550"/>
      <c r="J103" s="1550"/>
      <c r="K103" s="1550"/>
      <c r="L103" s="1550"/>
      <c r="M103" s="1550"/>
      <c r="N103" s="1550"/>
      <c r="O103" s="1550"/>
      <c r="P103" s="1550"/>
      <c r="Q103" s="1550"/>
      <c r="R103" s="1550"/>
      <c r="S103" s="1550"/>
      <c r="T103" s="1550"/>
      <c r="U103" s="1550"/>
      <c r="V103" s="1550"/>
      <c r="W103" s="1550"/>
      <c r="X103" s="1550"/>
      <c r="Y103" s="1550"/>
      <c r="Z103" s="1550"/>
      <c r="AA103" s="1550"/>
      <c r="AB103" s="1550"/>
      <c r="AC103" s="1550"/>
      <c r="AD103" s="1550"/>
      <c r="AE103" s="1550"/>
      <c r="AF103" s="1550"/>
      <c r="AG103" s="1550"/>
      <c r="AH103" s="1550"/>
      <c r="AI103" s="1550"/>
      <c r="AJ103" s="1550"/>
      <c r="AK103" s="1550"/>
      <c r="AL103" s="1550"/>
      <c r="AM103" s="1550"/>
      <c r="AN103" s="1550"/>
      <c r="AO103" s="1550"/>
      <c r="AP103" s="1550"/>
      <c r="AQ103" s="1550"/>
      <c r="AR103" s="1550"/>
      <c r="AS103" s="1550"/>
      <c r="AT103" s="1550"/>
      <c r="AU103" s="20"/>
      <c r="AV103" s="20"/>
      <c r="AW103" s="20"/>
      <c r="AX103" s="20"/>
      <c r="AY103" s="20"/>
      <c r="BD103" t="s">
        <v>2130</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2538</v>
      </c>
      <c r="BE104" s="1183" t="b">
        <f>T200="Yes"</f>
        <v>0</v>
      </c>
    </row>
    <row r="105" spans="1:57" ht="12.95" customHeight="1">
      <c r="A105" s="1550" t="s">
        <v>2121</v>
      </c>
      <c r="B105" s="1550"/>
      <c r="C105" s="1550"/>
      <c r="D105" s="1550"/>
      <c r="E105" s="1550"/>
      <c r="F105" s="1550"/>
      <c r="G105" s="1550"/>
      <c r="H105" s="1550"/>
      <c r="I105" s="1550"/>
      <c r="J105" s="1550"/>
      <c r="K105" s="1550"/>
      <c r="L105" s="1550"/>
      <c r="M105" s="1550"/>
      <c r="N105" s="1550"/>
      <c r="O105" s="1550"/>
      <c r="P105" s="1550"/>
      <c r="Q105" s="1550"/>
      <c r="R105" s="1550"/>
      <c r="S105" s="1550"/>
      <c r="T105" s="1550"/>
      <c r="U105" s="1550"/>
      <c r="V105" s="1550"/>
      <c r="W105" s="1550"/>
      <c r="X105" s="1550"/>
      <c r="Y105" s="1550"/>
      <c r="Z105" s="1550"/>
      <c r="AA105" s="1550"/>
      <c r="AB105" s="1550"/>
      <c r="AC105" s="1550"/>
      <c r="AD105" s="1550"/>
      <c r="AE105" s="1550"/>
      <c r="AF105" s="1550"/>
      <c r="AG105" s="1550"/>
      <c r="AH105" s="1550"/>
      <c r="AI105" s="1550"/>
      <c r="AJ105" s="1550"/>
      <c r="AK105" s="1550"/>
      <c r="AL105" s="1550"/>
      <c r="AM105" s="1550"/>
      <c r="AN105" s="1550"/>
      <c r="AO105" s="1550"/>
      <c r="AP105" s="1550"/>
      <c r="AQ105" s="1550"/>
      <c r="AR105" s="1550"/>
      <c r="AS105" s="1550"/>
      <c r="AT105" s="1550"/>
      <c r="AU105" s="20"/>
      <c r="AV105" s="20"/>
      <c r="AW105" s="20"/>
      <c r="AX105" s="20"/>
      <c r="AY105" s="20"/>
      <c r="BD105" s="3" t="s">
        <v>2543</v>
      </c>
      <c r="BE105" s="1183" t="b">
        <f>V224="Yes"</f>
        <v>0</v>
      </c>
    </row>
    <row r="106" spans="1:57" ht="12.95" customHeight="1">
      <c r="A106" s="1550"/>
      <c r="B106" s="1550"/>
      <c r="C106" s="1550"/>
      <c r="D106" s="1550"/>
      <c r="E106" s="1550"/>
      <c r="F106" s="1550"/>
      <c r="G106" s="1550"/>
      <c r="H106" s="1550"/>
      <c r="I106" s="1550"/>
      <c r="J106" s="1550"/>
      <c r="K106" s="1550"/>
      <c r="L106" s="1550"/>
      <c r="M106" s="1550"/>
      <c r="N106" s="1550"/>
      <c r="O106" s="1550"/>
      <c r="P106" s="1550"/>
      <c r="Q106" s="1550"/>
      <c r="R106" s="1550"/>
      <c r="S106" s="1550"/>
      <c r="T106" s="1550"/>
      <c r="U106" s="1550"/>
      <c r="V106" s="1550"/>
      <c r="W106" s="1550"/>
      <c r="X106" s="1550"/>
      <c r="Y106" s="1550"/>
      <c r="Z106" s="1550"/>
      <c r="AA106" s="1550"/>
      <c r="AB106" s="1550"/>
      <c r="AC106" s="1550"/>
      <c r="AD106" s="1550"/>
      <c r="AE106" s="1550"/>
      <c r="AF106" s="1550"/>
      <c r="AG106" s="1550"/>
      <c r="AH106" s="1550"/>
      <c r="AI106" s="1550"/>
      <c r="AJ106" s="1550"/>
      <c r="AK106" s="1550"/>
      <c r="AL106" s="1550"/>
      <c r="AM106" s="1550"/>
      <c r="AN106" s="1550"/>
      <c r="AO106" s="1550"/>
      <c r="AP106" s="1550"/>
      <c r="AQ106" s="1550"/>
      <c r="AR106" s="1550"/>
      <c r="AS106" s="1550"/>
      <c r="AT106" s="1550"/>
      <c r="AU106" s="20"/>
      <c r="AV106" s="20"/>
      <c r="AW106" s="20"/>
      <c r="AX106" s="20"/>
      <c r="AY106" s="20"/>
      <c r="BD106" s="3" t="s">
        <v>2544</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2545</v>
      </c>
      <c r="BE107" s="1183" t="b">
        <f t="shared" si="0"/>
        <v>0</v>
      </c>
    </row>
    <row r="108" spans="1:57" ht="12.95"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2546</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2547</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2548</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30">
        <v>21</v>
      </c>
      <c r="H113" s="1530"/>
      <c r="I113" s="3" t="s">
        <v>182</v>
      </c>
      <c r="L113" s="1530" t="s">
        <v>2645</v>
      </c>
      <c r="M113" s="1530"/>
      <c r="N113" s="1530"/>
      <c r="O113" s="1530"/>
      <c r="P113" s="1558" t="s">
        <v>2611</v>
      </c>
      <c r="Q113" s="1558"/>
      <c r="R113" s="1558"/>
      <c r="S113" s="155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2" t="s">
        <v>494</v>
      </c>
      <c r="D115" s="1542"/>
      <c r="E115" s="1542"/>
      <c r="F115" s="1542"/>
      <c r="G115" s="1542"/>
      <c r="H115" s="1542"/>
      <c r="I115" s="1542"/>
      <c r="J115" s="1542"/>
      <c r="K115" s="1542"/>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30"/>
      <c r="Z117" s="1530"/>
      <c r="AA117" s="1530"/>
      <c r="AB117" s="1530"/>
      <c r="AC117" s="1530"/>
      <c r="AD117" s="1530"/>
      <c r="AE117" s="1530"/>
      <c r="AF117" s="1530"/>
      <c r="AG117" s="1530"/>
      <c r="AH117" s="1530"/>
      <c r="AI117" s="1530"/>
      <c r="AJ117" s="1530"/>
      <c r="AK117" s="1530"/>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30" t="s">
        <v>2646</v>
      </c>
      <c r="Z120" s="1530"/>
      <c r="AA120" s="1530"/>
      <c r="AB120" s="1530"/>
      <c r="AC120" s="1530"/>
      <c r="AD120" s="1530"/>
      <c r="AE120" s="1530"/>
      <c r="AF120" s="1530"/>
      <c r="AG120" s="1530"/>
      <c r="AH120" s="1530"/>
      <c r="AI120" s="1530"/>
      <c r="AJ120" s="1530"/>
      <c r="AK120" s="153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0" t="s">
        <v>469</v>
      </c>
      <c r="CV122" s="1681"/>
      <c r="CW122" s="14"/>
      <c r="CX122" s="14" t="s">
        <v>634</v>
      </c>
      <c r="CY122" s="14"/>
      <c r="CZ122" s="14"/>
      <c r="DA122" s="14"/>
      <c r="DB122" s="14"/>
      <c r="DC122" s="14"/>
      <c r="DD122" s="14"/>
      <c r="DE122" s="14"/>
      <c r="DF122" s="14"/>
      <c r="DG122" s="1677" t="str">
        <f>T189</f>
        <v>Los Angeles</v>
      </c>
      <c r="DH122" s="1678"/>
      <c r="DI122" s="1678"/>
      <c r="DJ122" s="1678"/>
      <c r="DK122" s="1678"/>
      <c r="DL122" s="1678"/>
      <c r="DM122" s="1679"/>
    </row>
    <row r="123" spans="1:117" ht="12.95" customHeight="1">
      <c r="A123" s="3"/>
      <c r="B123" s="3"/>
      <c r="T123" s="3"/>
      <c r="U123" s="3"/>
      <c r="V123" s="3"/>
      <c r="W123" s="3"/>
      <c r="X123" s="3"/>
      <c r="Y123" s="1530" t="s">
        <v>2721</v>
      </c>
      <c r="Z123" s="1530"/>
      <c r="AA123" s="1530"/>
      <c r="AB123" s="1530"/>
      <c r="AC123" s="1530"/>
      <c r="AD123" s="1530"/>
      <c r="AE123" s="1530"/>
      <c r="AF123" s="1530"/>
      <c r="AG123" s="1530"/>
      <c r="AH123" s="1530"/>
      <c r="AI123" s="1530"/>
      <c r="AJ123" s="1530"/>
      <c r="AK123" s="153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16"/>
      <c r="G150" s="1416"/>
      <c r="H150" s="1416"/>
      <c r="I150" s="1416"/>
      <c r="J150" s="1416"/>
      <c r="K150" s="1416"/>
      <c r="L150" s="1416"/>
      <c r="M150" s="1416"/>
      <c r="N150" s="1416"/>
      <c r="O150" s="1416"/>
      <c r="P150" s="1416"/>
      <c r="Q150" s="1416"/>
      <c r="R150" s="1416"/>
      <c r="S150" s="1416"/>
      <c r="T150" s="141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2397</v>
      </c>
    </row>
    <row r="152" spans="1:108" ht="12.95" customHeight="1">
      <c r="BM152">
        <v>4</v>
      </c>
      <c r="BN152" s="3" t="s">
        <v>2396</v>
      </c>
    </row>
    <row r="153" spans="1:108" ht="12.95" customHeight="1">
      <c r="D153" t="s">
        <v>645</v>
      </c>
      <c r="O153" s="1505" t="s">
        <v>875</v>
      </c>
      <c r="P153" s="1505"/>
      <c r="Q153" s="1505"/>
      <c r="R153" s="1505"/>
      <c r="S153" s="1505"/>
      <c r="T153" s="1505"/>
      <c r="U153" s="1505"/>
      <c r="V153" s="1505"/>
      <c r="W153" s="1505"/>
      <c r="X153" s="1505"/>
      <c r="Y153" s="1505"/>
      <c r="Z153" s="1505"/>
      <c r="AA153" s="1505"/>
      <c r="AB153" s="1505"/>
      <c r="AC153" s="1505"/>
      <c r="AD153" s="1505"/>
      <c r="AE153" s="1505"/>
      <c r="AF153" s="1505"/>
      <c r="AG153" s="1505"/>
      <c r="AH153" s="1505"/>
      <c r="BM153">
        <v>5</v>
      </c>
      <c r="BN153" s="3" t="s">
        <v>2398</v>
      </c>
      <c r="CR153" s="31" t="s">
        <v>2640</v>
      </c>
      <c r="CS153" s="32"/>
      <c r="CT153" s="32"/>
      <c r="CU153" s="32"/>
      <c r="CV153" s="32"/>
      <c r="CW153" s="32"/>
      <c r="CX153" s="14"/>
      <c r="CY153" s="31" t="s">
        <v>2641</v>
      </c>
      <c r="CZ153" s="14"/>
      <c r="DA153" s="14"/>
      <c r="DB153" s="14"/>
      <c r="DC153" s="14"/>
      <c r="DD153" s="14"/>
    </row>
    <row r="154" spans="1:108" ht="12.95" customHeight="1">
      <c r="D154" s="303" t="s">
        <v>439</v>
      </c>
      <c r="O154" s="1437" t="s">
        <v>2647</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2399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24" t="s">
        <v>440</v>
      </c>
      <c r="P155" s="1524"/>
      <c r="Q155" s="1524"/>
      <c r="R155" s="1524"/>
      <c r="S155" s="1524"/>
      <c r="T155" s="1524"/>
      <c r="U155" s="1524"/>
      <c r="V155" s="1524"/>
      <c r="W155" s="1524"/>
      <c r="X155" s="1524"/>
      <c r="Y155" s="1524"/>
      <c r="Z155" s="1524"/>
      <c r="AA155" s="1524"/>
      <c r="AB155" s="1524"/>
      <c r="AC155" s="1524"/>
      <c r="AD155" s="1524"/>
      <c r="AE155" s="1524"/>
      <c r="AF155" s="1524"/>
      <c r="AG155" s="1524"/>
      <c r="AH155" s="1524"/>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18" t="s">
        <v>2648</v>
      </c>
      <c r="P156" s="1418"/>
      <c r="Q156" s="1418"/>
      <c r="R156" s="1418"/>
      <c r="S156" s="1418"/>
      <c r="T156" s="1418"/>
      <c r="U156" s="1418"/>
      <c r="V156" s="1418"/>
      <c r="W156" s="1418"/>
      <c r="X156" s="1418"/>
      <c r="Y156" s="1418"/>
      <c r="Z156" s="1418"/>
      <c r="AA156" s="1418"/>
      <c r="AB156" s="1418"/>
      <c r="AC156" s="1418"/>
      <c r="AD156" s="1418"/>
      <c r="AE156" s="1418"/>
      <c r="AF156" s="1418"/>
      <c r="AG156" s="1418"/>
      <c r="AH156" s="1418"/>
      <c r="BT156" t="s">
        <v>307</v>
      </c>
      <c r="CB156" s="195" t="s">
        <v>2536</v>
      </c>
      <c r="CC156" s="196"/>
      <c r="CD156" s="196"/>
      <c r="CE156" s="196"/>
      <c r="CF156" s="196"/>
      <c r="CG156" s="196"/>
      <c r="CH156" s="196"/>
      <c r="CI156" s="3"/>
      <c r="CJ156" s="195" t="s">
        <v>2534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05" t="s">
        <v>494</v>
      </c>
      <c r="P157" s="1505"/>
      <c r="Q157" s="1505"/>
      <c r="R157" s="1505"/>
      <c r="S157" s="1505"/>
      <c r="T157" s="1505"/>
      <c r="U157" s="1505"/>
      <c r="V157" s="1505"/>
      <c r="W157" s="1505"/>
      <c r="X157" s="1505"/>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3">
        <v>90017</v>
      </c>
      <c r="P158" s="1553"/>
      <c r="Q158" s="1553"/>
      <c r="R158" s="155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31">
        <v>2138088596</v>
      </c>
      <c r="P159" s="1531"/>
      <c r="Q159" s="1531"/>
      <c r="R159" s="1531"/>
      <c r="S159" s="1531"/>
      <c r="T159" s="1531"/>
      <c r="V159" s="97" t="s">
        <v>271</v>
      </c>
      <c r="W159" s="1554"/>
      <c r="X159" s="1554"/>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31">
        <v>2138088910</v>
      </c>
      <c r="P160" s="1531"/>
      <c r="Q160" s="1531"/>
      <c r="R160" s="1531"/>
      <c r="S160" s="1531"/>
      <c r="T160" s="1531"/>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522" t="s">
        <v>2649</v>
      </c>
      <c r="P161" s="1522"/>
      <c r="Q161" s="1522"/>
      <c r="R161" s="1522"/>
      <c r="S161" s="1522"/>
      <c r="T161" s="1522"/>
      <c r="U161" s="1522"/>
      <c r="V161" s="1522"/>
      <c r="W161" s="1522"/>
      <c r="X161" s="1522"/>
      <c r="Y161" s="1522"/>
      <c r="Z161" s="1522"/>
      <c r="AA161" s="1522"/>
      <c r="AB161" s="1522"/>
      <c r="AC161" s="1522"/>
      <c r="AD161" s="1522"/>
      <c r="AE161" s="1522"/>
      <c r="AF161" s="1522"/>
      <c r="AG161" s="1522"/>
      <c r="AH161" s="1522"/>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543" t="s">
        <v>2171</v>
      </c>
      <c r="E164" s="1543"/>
      <c r="F164" s="1543"/>
      <c r="G164" s="1543"/>
      <c r="H164" s="1543"/>
      <c r="I164" s="1543"/>
      <c r="J164" s="1543"/>
      <c r="K164" s="1543"/>
      <c r="L164" s="1543"/>
      <c r="M164" s="1543"/>
      <c r="N164" s="1543"/>
      <c r="O164" s="1543"/>
      <c r="P164" s="1543"/>
      <c r="Q164" s="1543"/>
      <c r="R164" s="1543"/>
      <c r="S164" s="1543"/>
      <c r="T164" s="1543"/>
      <c r="U164" s="1543"/>
      <c r="V164" s="1543"/>
      <c r="W164" s="1543"/>
      <c r="X164" s="1543"/>
      <c r="Y164" s="1543"/>
      <c r="Z164" s="1543"/>
      <c r="AA164" s="1543"/>
      <c r="AB164" s="1543"/>
      <c r="AC164" s="1543"/>
      <c r="AD164" s="1543"/>
      <c r="AE164" s="1543"/>
      <c r="AF164" s="1543"/>
      <c r="AG164" s="1543"/>
      <c r="AH164" s="1543"/>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26" t="s">
        <v>539</v>
      </c>
      <c r="B169" s="1526"/>
      <c r="C169" s="1526"/>
      <c r="D169" s="1526"/>
      <c r="E169" s="1526"/>
      <c r="F169" s="1526"/>
      <c r="G169" s="1526"/>
      <c r="H169" s="1526"/>
      <c r="I169" s="1526"/>
      <c r="J169" s="1526"/>
      <c r="K169" s="1526"/>
      <c r="L169" s="1526"/>
      <c r="M169" s="1526"/>
      <c r="N169" s="1526"/>
      <c r="O169" s="1526"/>
      <c r="P169" s="1526"/>
      <c r="Q169" s="1526"/>
      <c r="R169" s="1526"/>
      <c r="S169" s="1526"/>
      <c r="T169" s="1526"/>
      <c r="U169" s="1526"/>
      <c r="V169" s="1526"/>
      <c r="W169" s="1526"/>
      <c r="X169" s="1526"/>
      <c r="Y169" s="1526"/>
      <c r="Z169" s="1526"/>
      <c r="AA169" s="1526"/>
      <c r="AB169" s="1526"/>
      <c r="AC169" s="1526"/>
      <c r="AD169" s="1526"/>
      <c r="AE169" s="1526"/>
      <c r="AF169" s="1526"/>
      <c r="AG169" s="1526"/>
      <c r="AH169" s="1526"/>
      <c r="AI169" s="1526"/>
      <c r="AJ169" s="1526"/>
      <c r="AK169" s="1526"/>
      <c r="AL169" s="1526"/>
      <c r="AM169" s="1526"/>
      <c r="AN169" s="1526"/>
      <c r="AO169" s="1526"/>
      <c r="AP169" s="1526"/>
      <c r="AQ169" s="1526"/>
      <c r="AR169" s="1526"/>
      <c r="AS169" s="1526"/>
      <c r="AT169" s="1526"/>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26"/>
      <c r="B170" s="1526"/>
      <c r="C170" s="1526"/>
      <c r="D170" s="1526"/>
      <c r="E170" s="1526"/>
      <c r="F170" s="1526"/>
      <c r="G170" s="1526"/>
      <c r="H170" s="1526"/>
      <c r="I170" s="1526"/>
      <c r="J170" s="1526"/>
      <c r="K170" s="1526"/>
      <c r="L170" s="1526"/>
      <c r="M170" s="1526"/>
      <c r="N170" s="1526"/>
      <c r="O170" s="1526"/>
      <c r="P170" s="1526"/>
      <c r="Q170" s="1526"/>
      <c r="R170" s="1526"/>
      <c r="S170" s="1526"/>
      <c r="T170" s="1526"/>
      <c r="U170" s="1526"/>
      <c r="V170" s="1526"/>
      <c r="W170" s="1526"/>
      <c r="X170" s="1526"/>
      <c r="Y170" s="1526"/>
      <c r="Z170" s="1526"/>
      <c r="AA170" s="1526"/>
      <c r="AB170" s="1526"/>
      <c r="AC170" s="1526"/>
      <c r="AD170" s="1526"/>
      <c r="AE170" s="1526"/>
      <c r="AF170" s="1526"/>
      <c r="AG170" s="1526"/>
      <c r="AH170" s="1526"/>
      <c r="AI170" s="1526"/>
      <c r="AJ170" s="1526"/>
      <c r="AK170" s="1526"/>
      <c r="AL170" s="1526"/>
      <c r="AM170" s="1526"/>
      <c r="AN170" s="1526"/>
      <c r="AO170" s="1526"/>
      <c r="AP170" s="1526"/>
      <c r="AQ170" s="1526"/>
      <c r="AR170" s="1526"/>
      <c r="AS170" s="1526"/>
      <c r="AT170" s="1526"/>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523" t="s">
        <v>371</v>
      </c>
      <c r="K173" s="1523"/>
      <c r="L173" s="1523"/>
      <c r="M173" s="1523"/>
      <c r="N173" s="1523"/>
      <c r="O173" s="1523"/>
      <c r="P173" s="1523"/>
      <c r="Q173" s="1523"/>
      <c r="R173" s="1523"/>
      <c r="S173" s="1523"/>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1201</v>
      </c>
      <c r="J174" s="1418" t="s">
        <v>2057</v>
      </c>
      <c r="K174" s="1418"/>
      <c r="L174" s="1418"/>
      <c r="M174" s="1418"/>
      <c r="N174" s="1418"/>
      <c r="O174" s="1418"/>
      <c r="P174" s="1418"/>
      <c r="Q174" s="1418"/>
      <c r="R174" s="1418"/>
      <c r="S174" s="1418"/>
      <c r="T174" s="1418"/>
      <c r="U174" s="1418"/>
      <c r="V174" s="1418"/>
      <c r="W174" s="1418"/>
      <c r="X174" s="1418"/>
      <c r="Y174" s="1418"/>
      <c r="Z174" s="1418"/>
      <c r="AA174" s="1418"/>
      <c r="AB174" s="1418"/>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426" t="s">
        <v>669</v>
      </c>
      <c r="V175" s="1426"/>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2036</v>
      </c>
      <c r="T176" s="27" t="s">
        <v>305</v>
      </c>
      <c r="U176" s="1546"/>
      <c r="V176" s="1546"/>
      <c r="W176" s="1" t="s">
        <v>306</v>
      </c>
      <c r="X176" s="1560"/>
      <c r="Y176" s="1560"/>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426" t="s">
        <v>669</v>
      </c>
      <c r="S177" s="1426"/>
      <c r="BB177" t="s">
        <v>2168</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1202</v>
      </c>
      <c r="AA178" t="s">
        <v>2036</v>
      </c>
      <c r="AE178" s="27" t="s">
        <v>305</v>
      </c>
      <c r="AF178" s="1559"/>
      <c r="AG178" s="1559"/>
      <c r="AH178" s="1" t="s">
        <v>306</v>
      </c>
      <c r="AI178" s="1451"/>
      <c r="AJ178" s="1451"/>
      <c r="AK178" s="1451"/>
      <c r="BB178" t="s">
        <v>2169</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2636</v>
      </c>
      <c r="X180" s="1426" t="s">
        <v>669</v>
      </c>
      <c r="Y180" s="1426"/>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391" t="str">
        <f>H18</f>
        <v>975 Manhattan</v>
      </c>
      <c r="J184" s="1391"/>
      <c r="K184" s="1391"/>
      <c r="L184" s="1391"/>
      <c r="M184" s="1391"/>
      <c r="N184" s="1391"/>
      <c r="O184" s="1391"/>
      <c r="P184" s="1391"/>
      <c r="Q184" s="1391"/>
      <c r="R184" s="1391"/>
      <c r="S184" s="1391"/>
      <c r="T184" s="1391"/>
      <c r="U184" s="1391"/>
      <c r="V184" s="1391"/>
      <c r="W184" s="1391"/>
      <c r="X184" s="1391"/>
      <c r="Y184" s="1391"/>
      <c r="Z184" s="1391"/>
      <c r="AA184" s="1391"/>
      <c r="AB184" s="1391"/>
      <c r="AC184" s="1391"/>
      <c r="AD184" s="1391"/>
      <c r="AE184" s="1391"/>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470" t="s">
        <v>2650</v>
      </c>
      <c r="J185" s="1470"/>
      <c r="K185" s="1470"/>
      <c r="L185" s="1470"/>
      <c r="M185" s="1470"/>
      <c r="N185" s="1470"/>
      <c r="O185" s="1470"/>
      <c r="P185" s="1470"/>
      <c r="Q185" s="1470"/>
      <c r="R185" s="1470"/>
      <c r="S185" s="1470"/>
      <c r="T185" s="1470"/>
      <c r="U185" s="1470"/>
      <c r="V185" s="1470"/>
      <c r="W185" s="1470"/>
      <c r="X185" s="1470"/>
      <c r="Y185" s="1470"/>
      <c r="Z185" s="1470"/>
      <c r="AA185" s="1470"/>
      <c r="AB185" s="1470"/>
      <c r="AC185" s="1470"/>
      <c r="AD185" s="1470"/>
      <c r="AE185" s="1470"/>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20"/>
      <c r="F187" s="1520"/>
      <c r="G187" s="1520"/>
      <c r="H187" s="1520"/>
      <c r="I187" s="1520"/>
      <c r="J187" s="1520"/>
      <c r="K187" s="1520"/>
      <c r="L187" s="1520"/>
      <c r="M187" s="1520"/>
      <c r="N187" s="1520"/>
      <c r="O187" s="1520"/>
      <c r="P187" s="1520"/>
      <c r="Q187" s="1520"/>
      <c r="R187" s="1520"/>
      <c r="S187" s="1520"/>
      <c r="T187" s="1520"/>
      <c r="U187" s="1520"/>
      <c r="V187" s="1520"/>
      <c r="W187" s="1520"/>
      <c r="X187" s="1520"/>
      <c r="Y187" s="1520"/>
      <c r="Z187" s="1520"/>
      <c r="AA187" s="1520"/>
      <c r="AB187" s="1520"/>
      <c r="AC187" s="1520"/>
      <c r="AD187" s="1520"/>
      <c r="AE187" s="1520"/>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21"/>
      <c r="F188" s="1521"/>
      <c r="G188" s="1521"/>
      <c r="H188" s="1521"/>
      <c r="I188" s="1521"/>
      <c r="J188" s="1521"/>
      <c r="K188" s="1521"/>
      <c r="L188" s="1521"/>
      <c r="M188" s="1521"/>
      <c r="N188" s="1521"/>
      <c r="O188" s="1521"/>
      <c r="P188" s="1521"/>
      <c r="Q188" s="1521"/>
      <c r="R188" s="1521"/>
      <c r="S188" s="1521"/>
      <c r="T188" s="1521"/>
      <c r="U188" s="1521"/>
      <c r="V188" s="1521"/>
      <c r="W188" s="1521"/>
      <c r="X188" s="1521"/>
      <c r="Y188" s="1521"/>
      <c r="Z188" s="1521"/>
      <c r="AA188" s="1521"/>
      <c r="AB188" s="1521"/>
      <c r="AC188" s="1521"/>
      <c r="AD188" s="1521"/>
      <c r="AE188" s="1521"/>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99" t="s">
        <v>494</v>
      </c>
      <c r="J189" s="1418"/>
      <c r="K189" s="1418"/>
      <c r="L189" s="1418"/>
      <c r="M189" s="1418"/>
      <c r="N189" s="1418"/>
      <c r="O189" s="1418"/>
      <c r="P189" s="1418"/>
      <c r="Q189" t="s">
        <v>582</v>
      </c>
      <c r="T189" s="1418" t="s">
        <v>494</v>
      </c>
      <c r="U189" s="1418"/>
      <c r="V189" s="1418"/>
      <c r="W189" s="1418"/>
      <c r="X189" s="1418"/>
      <c r="Y189" s="1418"/>
      <c r="Z189" s="1418"/>
      <c r="AA189" s="1418"/>
      <c r="AB189" s="1418"/>
      <c r="AC189" s="1418"/>
      <c r="AD189" s="1418"/>
      <c r="AE189" s="1418"/>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70">
        <v>90019</v>
      </c>
      <c r="J190" s="1470"/>
      <c r="K190" s="1470"/>
      <c r="L190" s="1470"/>
      <c r="M190" s="1470"/>
      <c r="N190" s="1470"/>
      <c r="O190" t="s">
        <v>585</v>
      </c>
      <c r="T190" s="1551">
        <v>6037213100</v>
      </c>
      <c r="U190" s="1551"/>
      <c r="V190" s="1551"/>
      <c r="W190" s="1551"/>
      <c r="X190" s="1551"/>
      <c r="Y190" s="1551"/>
      <c r="Z190" s="1551"/>
      <c r="AA190" s="1551"/>
      <c r="AB190" s="1551"/>
      <c r="AC190" s="1551"/>
      <c r="AD190" s="1551"/>
      <c r="AE190" s="1551"/>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547" t="s">
        <v>2651</v>
      </c>
      <c r="O191" s="1520"/>
      <c r="P191" s="1520"/>
      <c r="Q191" s="1520"/>
      <c r="R191" s="1520"/>
      <c r="S191" s="1520"/>
      <c r="T191" s="1520"/>
      <c r="U191" s="1520"/>
      <c r="V191" s="1520"/>
      <c r="W191" s="1520"/>
      <c r="X191" s="1520"/>
      <c r="Y191" s="1520"/>
      <c r="Z191" s="1520"/>
      <c r="AA191" s="1520"/>
      <c r="AB191" s="1520"/>
      <c r="AC191" s="1520"/>
      <c r="AD191" s="1520"/>
      <c r="AE191" s="1520"/>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21"/>
      <c r="O192" s="1521"/>
      <c r="P192" s="1521"/>
      <c r="Q192" s="1521"/>
      <c r="R192" s="1521"/>
      <c r="S192" s="1521"/>
      <c r="T192" s="1521"/>
      <c r="U192" s="1521"/>
      <c r="V192" s="1521"/>
      <c r="W192" s="1521"/>
      <c r="X192" s="1521"/>
      <c r="Y192" s="1521"/>
      <c r="Z192" s="1521"/>
      <c r="AA192" s="1521"/>
      <c r="AB192" s="1521"/>
      <c r="AC192" s="1521"/>
      <c r="AD192" s="1521"/>
      <c r="AE192" s="1521"/>
      <c r="BC192" t="s">
        <v>1042</v>
      </c>
      <c r="BH192" s="3" t="s">
        <v>1357</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2037</v>
      </c>
      <c r="M193" s="40"/>
      <c r="N193" s="890"/>
      <c r="O193" s="890"/>
      <c r="P193" s="890"/>
      <c r="Q193" s="890"/>
      <c r="R193" s="890"/>
      <c r="S193" s="890"/>
      <c r="T193" s="1555" t="s">
        <v>2168</v>
      </c>
      <c r="U193" s="1555"/>
      <c r="V193" s="1555"/>
      <c r="W193" s="1555"/>
      <c r="X193" s="1555"/>
      <c r="Y193" s="1555"/>
      <c r="Z193" s="1555"/>
      <c r="AA193" s="1555"/>
      <c r="AB193" s="1555"/>
      <c r="AC193" s="1555"/>
      <c r="AD193" s="1555"/>
      <c r="AE193" s="1555"/>
      <c r="AF193" s="1555"/>
      <c r="AG193" s="1555"/>
      <c r="AH193" s="1555"/>
      <c r="AI193" s="1555"/>
      <c r="BC193" t="s">
        <v>1041</v>
      </c>
      <c r="BH193" s="3" t="s">
        <v>1617</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2170</v>
      </c>
      <c r="M194" s="40"/>
      <c r="N194" s="890"/>
      <c r="O194" s="890"/>
      <c r="P194" s="890"/>
      <c r="Q194" s="890"/>
      <c r="R194" s="890"/>
      <c r="S194" s="890"/>
      <c r="AH194" s="1426" t="s">
        <v>669</v>
      </c>
      <c r="AI194" s="1426"/>
      <c r="BC194" t="s">
        <v>1357</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426" t="s">
        <v>669</v>
      </c>
      <c r="U195" s="1426"/>
      <c r="W195" t="s">
        <v>684</v>
      </c>
      <c r="AH195" s="1426">
        <v>34</v>
      </c>
      <c r="AI195" s="1426"/>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96" t="s">
        <v>545</v>
      </c>
      <c r="U196" s="1396"/>
      <c r="W196" t="s">
        <v>685</v>
      </c>
      <c r="AH196" s="1426">
        <v>54</v>
      </c>
      <c r="AI196" s="1426"/>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96" t="s">
        <v>669</v>
      </c>
      <c r="U197" s="1396"/>
      <c r="W197" t="s">
        <v>686</v>
      </c>
      <c r="AH197" s="1426">
        <v>26</v>
      </c>
      <c r="AI197" s="1426"/>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396">
        <v>0</v>
      </c>
      <c r="U198" s="1396"/>
      <c r="V198"/>
      <c r="X198" s="1527" t="s">
        <v>2445</v>
      </c>
      <c r="Y198" s="1527"/>
      <c r="Z198" s="1527"/>
      <c r="AA198" s="1527"/>
      <c r="AB198" s="1527"/>
      <c r="AC198" s="1527"/>
      <c r="AD198" s="1527"/>
      <c r="AE198" s="1527"/>
      <c r="AF198" s="1527"/>
      <c r="AG198" s="1527"/>
      <c r="AH198" s="1527"/>
      <c r="AI198" s="1527"/>
      <c r="AJ198" s="1527"/>
      <c r="AK198" s="1527"/>
      <c r="AL198" s="1527"/>
      <c r="AM198" s="1527"/>
      <c r="AN198" s="1527"/>
      <c r="AO198" s="1527"/>
      <c r="AP198" s="1527"/>
      <c r="AQ198" s="1527"/>
      <c r="AR198" s="1527"/>
      <c r="AS198" s="1527"/>
      <c r="AT198" s="1527"/>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2448</v>
      </c>
      <c r="E199"/>
      <c r="F199"/>
      <c r="G199"/>
      <c r="H199"/>
      <c r="I199"/>
      <c r="J199"/>
      <c r="K199"/>
      <c r="L199"/>
      <c r="M199"/>
      <c r="N199"/>
      <c r="O199"/>
      <c r="P199"/>
      <c r="Q199"/>
      <c r="R199"/>
      <c r="S199"/>
      <c r="T199" s="1426" t="s">
        <v>669</v>
      </c>
      <c r="U199" s="1426"/>
      <c r="V199"/>
      <c r="W199"/>
      <c r="X199" s="1527"/>
      <c r="Y199" s="1527"/>
      <c r="Z199" s="1527"/>
      <c r="AA199" s="1527"/>
      <c r="AB199" s="1527"/>
      <c r="AC199" s="1527"/>
      <c r="AD199" s="1527"/>
      <c r="AE199" s="1527"/>
      <c r="AF199" s="1527"/>
      <c r="AG199" s="1527"/>
      <c r="AH199" s="1527"/>
      <c r="AI199" s="1527"/>
      <c r="AJ199" s="1527"/>
      <c r="AK199" s="1527"/>
      <c r="AL199" s="1527"/>
      <c r="AM199" s="1527"/>
      <c r="AN199" s="1527"/>
      <c r="AO199" s="1527"/>
      <c r="AP199" s="1527"/>
      <c r="AQ199" s="1527"/>
      <c r="AR199" s="1527"/>
      <c r="AS199" s="1527"/>
      <c r="AT199" s="1527"/>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2446</v>
      </c>
      <c r="T200" s="1426" t="s">
        <v>669</v>
      </c>
      <c r="U200" s="1426"/>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2447</v>
      </c>
      <c r="V201"/>
      <c r="X201"/>
      <c r="Y201"/>
      <c r="Z201"/>
      <c r="AB201" s="1184"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391" t="s">
        <v>385</v>
      </c>
      <c r="E204" s="1391"/>
      <c r="F204" s="1391"/>
      <c r="G204" s="1391"/>
      <c r="H204" s="1391"/>
      <c r="I204" s="1391"/>
      <c r="J204" s="1391"/>
      <c r="K204" s="1391"/>
      <c r="L204" s="1391"/>
      <c r="M204" s="1391"/>
      <c r="P204" s="1544">
        <f>M26</f>
        <v>2686191</v>
      </c>
      <c r="Q204" s="1545"/>
      <c r="R204" s="1545"/>
      <c r="S204" s="1545"/>
      <c r="T204" s="1545"/>
      <c r="U204" s="1545"/>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529" t="s">
        <v>1246</v>
      </c>
      <c r="E205" s="1391"/>
      <c r="F205" s="1391"/>
      <c r="G205" s="1391"/>
      <c r="H205" s="1391"/>
      <c r="I205" s="1391"/>
      <c r="J205" s="1391"/>
      <c r="K205" s="1391"/>
      <c r="L205" s="1391"/>
      <c r="M205" s="1391"/>
      <c r="P205" s="1545">
        <f>M27</f>
        <v>0</v>
      </c>
      <c r="Q205" s="1545"/>
      <c r="R205" s="1545"/>
      <c r="S205" s="1545"/>
      <c r="T205" s="1545"/>
      <c r="U205" s="1545"/>
      <c r="V205" s="28"/>
      <c r="W205" s="3" t="s">
        <v>1708</v>
      </c>
      <c r="Z205" s="1525" t="s">
        <v>1183</v>
      </c>
      <c r="AA205" s="1525"/>
      <c r="AB205" s="1525"/>
      <c r="AC205" s="1525"/>
      <c r="AD205" s="1525"/>
      <c r="AE205" s="1525"/>
      <c r="AF205" s="1525"/>
      <c r="AG205" s="1525"/>
      <c r="AH205" s="1525"/>
      <c r="AI205" s="1525"/>
      <c r="AJ205" s="1525"/>
      <c r="AK205" s="1525"/>
      <c r="AL205" s="1525"/>
      <c r="AM205" s="1525"/>
      <c r="AN205" s="1525"/>
      <c r="AP205" s="1416"/>
      <c r="AQ205" s="1416"/>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05" t="s">
        <v>2652</v>
      </c>
      <c r="E208" s="1505"/>
      <c r="F208" s="1505"/>
      <c r="G208" s="1505"/>
      <c r="H208" s="1505"/>
      <c r="I208" s="1505"/>
      <c r="J208" s="1505"/>
      <c r="K208" s="1505"/>
      <c r="L208" s="1505"/>
      <c r="M208" s="1505"/>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05" t="s">
        <v>1831</v>
      </c>
      <c r="E211" s="1505"/>
      <c r="F211" s="1505"/>
      <c r="G211" s="1505"/>
      <c r="H211" s="1505"/>
      <c r="I211" s="1505"/>
      <c r="J211" s="1505"/>
      <c r="K211" s="1505"/>
      <c r="L211" s="1505"/>
      <c r="M211" s="1505"/>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2185</v>
      </c>
      <c r="Q212" s="1426">
        <v>0</v>
      </c>
      <c r="R212" s="1426"/>
      <c r="T212" s="1537">
        <f>IFERROR(Q212/AG449,0)</f>
        <v>0</v>
      </c>
      <c r="U212" s="1538"/>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2405</v>
      </c>
      <c r="BC213" t="s">
        <v>526</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41" t="s">
        <v>591</v>
      </c>
      <c r="E214" s="1541"/>
      <c r="F214" s="1541"/>
      <c r="G214" s="1541"/>
      <c r="H214" s="1541"/>
      <c r="I214" s="1541"/>
      <c r="J214" s="1541"/>
      <c r="K214" s="1541"/>
      <c r="L214" s="1541"/>
      <c r="M214" s="1541"/>
      <c r="N214" s="1541"/>
      <c r="O214" s="1541"/>
      <c r="P214" s="1541"/>
      <c r="Q214" s="1541"/>
      <c r="R214" s="1541"/>
      <c r="S214" s="1541"/>
      <c r="T214" s="1541"/>
      <c r="U214" s="1541"/>
      <c r="V214" s="1541"/>
      <c r="W214" s="1541"/>
      <c r="X214" s="1541"/>
      <c r="Y214" s="1541"/>
      <c r="Z214" s="1541"/>
      <c r="AU214" s="21"/>
      <c r="AV214" s="21"/>
      <c r="AW214" s="21"/>
      <c r="AX214" s="21"/>
      <c r="AY214" s="21"/>
      <c r="BC214" t="s">
        <v>530</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540"/>
      <c r="AC215" s="1540"/>
      <c r="AD215" s="1540"/>
      <c r="AE215" s="1540"/>
      <c r="AF215" s="1540"/>
      <c r="AG215" s="1540"/>
      <c r="AH215" s="1540"/>
      <c r="AI215" s="1540"/>
      <c r="AJ215" s="1540"/>
      <c r="AK215" s="1540"/>
      <c r="AL215" s="1540"/>
      <c r="AM215" s="21"/>
      <c r="AN215" s="21"/>
      <c r="AO215" s="21"/>
      <c r="AP215" s="21"/>
      <c r="AQ215" s="21"/>
      <c r="AR215" s="21"/>
      <c r="AS215" s="21"/>
      <c r="AT215" s="21"/>
      <c r="AU215" s="21"/>
      <c r="AV215" s="21"/>
      <c r="AW215" s="21"/>
      <c r="AX215" s="21"/>
      <c r="AY215" s="21"/>
      <c r="BC215" t="s">
        <v>527</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540"/>
      <c r="AC216" s="1540"/>
      <c r="AD216" s="1540"/>
      <c r="AE216" s="1540"/>
      <c r="AF216" s="1540"/>
      <c r="AG216" s="1540"/>
      <c r="AH216" s="1540"/>
      <c r="AI216" s="1540"/>
      <c r="AJ216" s="1540"/>
      <c r="AK216" s="1540"/>
      <c r="AL216" s="1540"/>
      <c r="AM216" s="21"/>
      <c r="AN216" s="21"/>
      <c r="AO216" s="21"/>
      <c r="AP216" s="21"/>
      <c r="AQ216" s="21"/>
      <c r="AR216" s="21"/>
      <c r="AS216" s="21"/>
      <c r="AT216" s="21"/>
      <c r="AU216" s="21"/>
      <c r="AV216" s="21"/>
      <c r="AW216" s="21"/>
      <c r="AX216" s="21"/>
      <c r="AY216" s="21"/>
      <c r="BC216" t="s">
        <v>566</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2188</v>
      </c>
      <c r="D218" s="28"/>
      <c r="AC218" s="2" t="s">
        <v>2394</v>
      </c>
      <c r="BC218" t="s">
        <v>529</v>
      </c>
    </row>
    <row r="219" spans="1:108" ht="12.95" customHeight="1">
      <c r="A219" s="2"/>
      <c r="C219" s="2"/>
      <c r="D219" s="3" t="s">
        <v>2395</v>
      </c>
      <c r="AZ219" s="3"/>
      <c r="BA219" s="3"/>
      <c r="BC219" t="s">
        <v>377</v>
      </c>
    </row>
    <row r="220" spans="1:108" ht="12.95" customHeight="1">
      <c r="A220" s="2"/>
      <c r="C220" s="2"/>
      <c r="D220" s="1505" t="s">
        <v>875</v>
      </c>
      <c r="E220" s="1505"/>
      <c r="F220" s="1505"/>
      <c r="G220" s="1505"/>
      <c r="H220" s="1505"/>
      <c r="I220" s="1505"/>
      <c r="J220" s="1505"/>
      <c r="K220" s="1505"/>
      <c r="L220" s="1505"/>
      <c r="M220" s="1505"/>
      <c r="N220" s="1505"/>
      <c r="O220" s="1505"/>
      <c r="P220" s="1505"/>
      <c r="Q220" s="1505"/>
      <c r="R220" s="1505"/>
      <c r="S220" s="1505"/>
      <c r="T220" s="1505"/>
      <c r="U220" s="1505"/>
      <c r="V220" s="1505"/>
      <c r="W220" s="1505"/>
      <c r="X220" s="1505"/>
      <c r="Y220" s="1505"/>
      <c r="Z220" s="1505"/>
      <c r="AC220" s="1528" t="s">
        <v>875</v>
      </c>
      <c r="AD220" s="1528"/>
      <c r="AE220" s="1528"/>
      <c r="AF220" s="1528"/>
      <c r="AG220" s="1528"/>
      <c r="AH220" s="1528"/>
      <c r="AI220" s="1528"/>
      <c r="AJ220" s="1528"/>
      <c r="AK220" s="1528"/>
      <c r="AL220" s="1528"/>
      <c r="AM220" s="1528"/>
      <c r="AN220" s="1528"/>
      <c r="AO220" s="1528"/>
      <c r="AP220" s="1528"/>
      <c r="AQ220" s="1528"/>
      <c r="BA220" s="3"/>
      <c r="BC220" t="s">
        <v>300</v>
      </c>
    </row>
    <row r="221" spans="1:108" ht="12.95" customHeight="1">
      <c r="A221" s="2"/>
      <c r="B221" s="14"/>
      <c r="C221" s="2"/>
      <c r="BA221" s="3"/>
    </row>
    <row r="222" spans="1:108" ht="12.95" customHeight="1">
      <c r="A222" s="2" t="s">
        <v>2540</v>
      </c>
      <c r="B222" s="14"/>
      <c r="C222" s="2" t="s">
        <v>2541</v>
      </c>
      <c r="BA222" s="3"/>
    </row>
    <row r="223" spans="1:108" ht="12.95" customHeight="1">
      <c r="A223" s="2"/>
      <c r="B223" s="14"/>
      <c r="C223" s="2"/>
      <c r="D223" s="3" t="s">
        <v>2542</v>
      </c>
      <c r="BA223" s="3"/>
    </row>
    <row r="224" spans="1:108" ht="12.95" customHeight="1">
      <c r="A224" s="2"/>
      <c r="B224" s="14"/>
      <c r="C224" s="2"/>
      <c r="E224" s="3" t="s">
        <v>2543</v>
      </c>
      <c r="V224" s="1426" t="s">
        <v>669</v>
      </c>
      <c r="W224" s="1426"/>
      <c r="Y224" s="1193"/>
      <c r="BA224" s="3"/>
    </row>
    <row r="225" spans="1:69" ht="12.95" customHeight="1">
      <c r="A225" s="2"/>
      <c r="B225" s="14"/>
      <c r="C225" s="2"/>
      <c r="E225" s="3" t="s">
        <v>2544</v>
      </c>
      <c r="V225" s="1426" t="s">
        <v>669</v>
      </c>
      <c r="W225" s="1426"/>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2545</v>
      </c>
      <c r="V226" s="1396" t="s">
        <v>669</v>
      </c>
      <c r="W226" s="139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2546</v>
      </c>
      <c r="V227" s="1396" t="s">
        <v>669</v>
      </c>
      <c r="W227" s="139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2547</v>
      </c>
      <c r="V228" s="1396" t="s">
        <v>669</v>
      </c>
      <c r="W228" s="139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2548</v>
      </c>
      <c r="V229" s="1396" t="s">
        <v>669</v>
      </c>
      <c r="W229" s="139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6" t="s">
        <v>540</v>
      </c>
      <c r="B231" s="1526"/>
      <c r="C231" s="1526"/>
      <c r="D231" s="1526"/>
      <c r="E231" s="1526"/>
      <c r="F231" s="1526"/>
      <c r="G231" s="1526"/>
      <c r="H231" s="1526"/>
      <c r="I231" s="1526"/>
      <c r="J231" s="1526"/>
      <c r="K231" s="1526"/>
      <c r="L231" s="1526"/>
      <c r="M231" s="1526"/>
      <c r="N231" s="1526"/>
      <c r="O231" s="1526"/>
      <c r="P231" s="1526"/>
      <c r="Q231" s="1526"/>
      <c r="R231" s="1526"/>
      <c r="S231" s="1526"/>
      <c r="T231" s="1526"/>
      <c r="U231" s="1526"/>
      <c r="V231" s="1526"/>
      <c r="W231" s="1526"/>
      <c r="X231" s="1526"/>
      <c r="Y231" s="1526"/>
      <c r="Z231" s="1526"/>
      <c r="AA231" s="1526"/>
      <c r="AB231" s="1526"/>
      <c r="AC231" s="1526"/>
      <c r="AD231" s="1526"/>
      <c r="AE231" s="1526"/>
      <c r="AF231" s="1526"/>
      <c r="AG231" s="1526"/>
      <c r="AH231" s="1526"/>
      <c r="AI231" s="1526"/>
      <c r="AJ231" s="1526"/>
      <c r="AK231" s="1526"/>
      <c r="AL231" s="1526"/>
      <c r="AM231" s="1526"/>
      <c r="AN231" s="1526"/>
      <c r="AO231" s="1526"/>
      <c r="AP231" s="1526"/>
      <c r="AQ231" s="1526"/>
      <c r="AR231" s="1526"/>
      <c r="AS231" s="1526"/>
      <c r="AT231" s="1526"/>
      <c r="AU231" s="95"/>
      <c r="AV231" s="95"/>
      <c r="AW231" s="95"/>
      <c r="AX231" s="95"/>
      <c r="AY231" s="95"/>
      <c r="AZ231" s="3"/>
      <c r="BA231" s="3"/>
      <c r="BP231" s="34"/>
    </row>
    <row r="232" spans="1:69" ht="12.95" customHeight="1">
      <c r="A232" s="1526"/>
      <c r="B232" s="1526"/>
      <c r="C232" s="1526"/>
      <c r="D232" s="1526"/>
      <c r="E232" s="1526"/>
      <c r="F232" s="1526"/>
      <c r="G232" s="1526"/>
      <c r="H232" s="1526"/>
      <c r="I232" s="1526"/>
      <c r="J232" s="1526"/>
      <c r="K232" s="1526"/>
      <c r="L232" s="1526"/>
      <c r="M232" s="1526"/>
      <c r="N232" s="1526"/>
      <c r="O232" s="1526"/>
      <c r="P232" s="1526"/>
      <c r="Q232" s="1526"/>
      <c r="R232" s="1526"/>
      <c r="S232" s="1526"/>
      <c r="T232" s="1526"/>
      <c r="U232" s="1526"/>
      <c r="V232" s="1526"/>
      <c r="W232" s="1526"/>
      <c r="X232" s="1526"/>
      <c r="Y232" s="1526"/>
      <c r="Z232" s="1526"/>
      <c r="AA232" s="1526"/>
      <c r="AB232" s="1526"/>
      <c r="AC232" s="1526"/>
      <c r="AD232" s="1526"/>
      <c r="AE232" s="1526"/>
      <c r="AF232" s="1526"/>
      <c r="AG232" s="1526"/>
      <c r="AH232" s="1526"/>
      <c r="AI232" s="1526"/>
      <c r="AJ232" s="1526"/>
      <c r="AK232" s="1526"/>
      <c r="AL232" s="1526"/>
      <c r="AM232" s="1526"/>
      <c r="AN232" s="1526"/>
      <c r="AO232" s="1526"/>
      <c r="AP232" s="1526"/>
      <c r="AQ232" s="1526"/>
      <c r="AR232" s="1526"/>
      <c r="AS232" s="1526"/>
      <c r="AT232" s="1526"/>
      <c r="BA232" s="3"/>
      <c r="BB232" s="3"/>
      <c r="BQ232" s="34"/>
    </row>
    <row r="233" spans="1:69" ht="12.95" customHeight="1">
      <c r="AZ233" s="4"/>
      <c r="BA233" s="3"/>
      <c r="BB233" s="3"/>
      <c r="BQ233" s="34"/>
    </row>
    <row r="234" spans="1:69" ht="12.95"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26" t="s">
        <v>591</v>
      </c>
      <c r="AJ235" s="1426"/>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26" t="s">
        <v>545</v>
      </c>
      <c r="AJ236" s="1426"/>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26" t="s">
        <v>591</v>
      </c>
      <c r="AJ237" s="1426"/>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26" t="s">
        <v>591</v>
      </c>
      <c r="AJ238" s="1426"/>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552" t="str">
        <f>H16</f>
        <v>975 Manhattan, LLC</v>
      </c>
      <c r="N241" s="1552"/>
      <c r="O241" s="1552"/>
      <c r="P241" s="1552"/>
      <c r="Q241" s="1552"/>
      <c r="R241" s="1552"/>
      <c r="S241" s="1552"/>
      <c r="T241" s="1552"/>
      <c r="U241" s="1552"/>
      <c r="V241" s="1552"/>
      <c r="W241" s="1552"/>
      <c r="X241" s="1552"/>
      <c r="Y241" s="1552"/>
      <c r="Z241" s="1552"/>
      <c r="AA241" s="1552"/>
      <c r="AB241" s="1552"/>
      <c r="AC241" s="1552"/>
      <c r="AD241" s="1552"/>
      <c r="AE241" s="1552"/>
      <c r="AF241" s="1552"/>
      <c r="AG241" s="1552"/>
      <c r="AH241" s="1552"/>
      <c r="AI241" s="1552"/>
      <c r="AJ241" s="1552"/>
      <c r="AK241" s="1552"/>
      <c r="AZ241" s="4"/>
      <c r="BA241" s="3"/>
      <c r="BB241" s="205" t="s">
        <v>538</v>
      </c>
      <c r="BG241" s="241">
        <f>IF(AND(AND($M$258="nonprofit",$M$266="nonprofit",$M$274="for profit")),2,0)</f>
        <v>0</v>
      </c>
    </row>
    <row r="242" spans="1:67" ht="12.95" customHeight="1">
      <c r="D242" s="4" t="s">
        <v>85</v>
      </c>
      <c r="E242" s="4"/>
      <c r="F242" s="4"/>
      <c r="G242" s="4"/>
      <c r="H242" s="4"/>
      <c r="I242" s="4"/>
      <c r="J242" s="4"/>
      <c r="K242" s="4"/>
      <c r="M242" s="1505" t="s">
        <v>2653</v>
      </c>
      <c r="N242" s="1505"/>
      <c r="O242" s="1505"/>
      <c r="P242" s="1505"/>
      <c r="Q242" s="1505"/>
      <c r="R242" s="1505"/>
      <c r="S242" s="1505"/>
      <c r="T242" s="1505"/>
      <c r="U242" s="1505"/>
      <c r="V242" s="1505"/>
      <c r="W242" s="1505"/>
      <c r="X242" s="1505"/>
      <c r="Y242" s="1505"/>
      <c r="Z242" s="1505"/>
      <c r="AA242" s="1505"/>
      <c r="AB242" s="1505"/>
      <c r="AC242" s="1505"/>
      <c r="AD242" s="1505"/>
      <c r="AE242" s="1505"/>
      <c r="BB242" s="205" t="s">
        <v>538</v>
      </c>
      <c r="BG242" s="241">
        <f>IF(AND(AND($M$258="nonprofit",$M$266="for profit",$M$274="nonprofit")),2,0)</f>
        <v>0</v>
      </c>
    </row>
    <row r="243" spans="1:67" ht="12.95" customHeight="1">
      <c r="D243" s="4" t="s">
        <v>580</v>
      </c>
      <c r="E243" s="4"/>
      <c r="M243" s="1505" t="s">
        <v>494</v>
      </c>
      <c r="N243" s="1505"/>
      <c r="O243" s="1505"/>
      <c r="P243" s="1505"/>
      <c r="Q243" s="1505"/>
      <c r="R243" s="1505"/>
      <c r="S243" s="1505"/>
      <c r="T243" s="1505"/>
      <c r="V243" s="33" t="s">
        <v>86</v>
      </c>
      <c r="W243" s="1437" t="s">
        <v>2654</v>
      </c>
      <c r="X243" s="1437"/>
      <c r="Y243" s="4" t="s">
        <v>583</v>
      </c>
      <c r="AC243" s="1505">
        <v>90010</v>
      </c>
      <c r="AD243" s="1505"/>
      <c r="AE243" s="1505"/>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505" t="s">
        <v>2655</v>
      </c>
      <c r="N244" s="1505"/>
      <c r="O244" s="1505"/>
      <c r="P244" s="1505"/>
      <c r="Q244" s="1505"/>
      <c r="R244" s="1505"/>
      <c r="S244" s="1505"/>
      <c r="T244" s="1505"/>
      <c r="U244" s="1505"/>
      <c r="V244" s="1505"/>
      <c r="W244" s="1505"/>
      <c r="X244" s="1505"/>
      <c r="Y244" s="1505"/>
      <c r="Z244" s="1505"/>
      <c r="AA244" s="1505"/>
      <c r="AB244" s="1505"/>
      <c r="AC244" s="1505"/>
      <c r="AD244" s="1505"/>
      <c r="AE244" s="1505"/>
      <c r="AI244" s="4"/>
      <c r="AJ244" s="4"/>
      <c r="AK244" s="4"/>
      <c r="AL244" s="4"/>
      <c r="AM244" s="4"/>
      <c r="AN244" s="4"/>
      <c r="AO244" s="4"/>
      <c r="AP244" s="4"/>
      <c r="AQ244" s="4"/>
      <c r="AR244" s="4"/>
      <c r="AS244" s="4"/>
      <c r="AT244" s="4"/>
      <c r="BB244" s="205"/>
      <c r="BG244" s="204"/>
    </row>
    <row r="245" spans="1:67" ht="12.95" customHeight="1">
      <c r="D245" s="4" t="s">
        <v>88</v>
      </c>
      <c r="E245" s="4"/>
      <c r="F245" s="4"/>
      <c r="M245" s="1390">
        <v>2133655000</v>
      </c>
      <c r="N245" s="1390"/>
      <c r="O245" s="1390"/>
      <c r="P245" s="1390"/>
      <c r="Q245" s="1390"/>
      <c r="R245" s="1390"/>
      <c r="S245" s="4" t="s">
        <v>206</v>
      </c>
      <c r="T245" s="4"/>
      <c r="U245" s="1437"/>
      <c r="V245" s="1437"/>
      <c r="W245" s="1437"/>
      <c r="X245" s="4" t="s">
        <v>89</v>
      </c>
      <c r="Z245" s="1390"/>
      <c r="AA245" s="1390"/>
      <c r="AB245" s="1390"/>
      <c r="AC245" s="1390"/>
      <c r="AD245" s="1390"/>
      <c r="AE245" s="1390"/>
      <c r="AU245" s="4"/>
      <c r="AV245" s="4"/>
      <c r="AW245" s="4"/>
      <c r="AX245" s="4"/>
      <c r="AY245" s="4"/>
      <c r="AZ245" s="4"/>
      <c r="BB245" s="204" t="s">
        <v>537</v>
      </c>
      <c r="BG245" s="241">
        <f>IF(AND(AND($M$258="nonprofit",$M$266="nonprofit",$M$274="(select one)")),1,0)</f>
        <v>0</v>
      </c>
    </row>
    <row r="246" spans="1:67" ht="12.95" customHeight="1">
      <c r="D246" s="4" t="s">
        <v>90</v>
      </c>
      <c r="E246" s="4"/>
      <c r="F246" s="4"/>
      <c r="M246" s="1522" t="s">
        <v>2656</v>
      </c>
      <c r="N246" s="1522"/>
      <c r="O246" s="1522"/>
      <c r="P246" s="1522"/>
      <c r="Q246" s="1522"/>
      <c r="R246" s="1522"/>
      <c r="S246" s="1522"/>
      <c r="T246" s="1522"/>
      <c r="U246" s="1522"/>
      <c r="V246" s="1522"/>
      <c r="W246" s="1522"/>
      <c r="X246" s="1522"/>
      <c r="Y246" s="1522"/>
      <c r="Z246" s="1522"/>
      <c r="AA246" s="1522"/>
      <c r="AB246" s="1522"/>
      <c r="AC246" s="1522"/>
      <c r="AD246" s="1522"/>
      <c r="AE246" s="1522"/>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70" t="s">
        <v>300</v>
      </c>
      <c r="N247" s="1470"/>
      <c r="O247" s="1470"/>
      <c r="P247" s="1470"/>
      <c r="Q247" s="1470"/>
      <c r="R247" s="1470"/>
      <c r="S247" s="1470"/>
      <c r="T247" s="1470"/>
      <c r="U247" s="204" t="s">
        <v>906</v>
      </c>
      <c r="V247" s="204"/>
      <c r="W247" s="204"/>
      <c r="X247" s="204"/>
      <c r="Y247" s="204"/>
      <c r="Z247" s="204"/>
      <c r="AA247" s="1556" t="s">
        <v>2751</v>
      </c>
      <c r="AB247" s="1557"/>
      <c r="AC247" s="1557"/>
      <c r="AD247" s="1557"/>
      <c r="AE247" s="1557"/>
      <c r="AF247" s="1557"/>
      <c r="AG247" s="1557"/>
      <c r="AH247" s="1557"/>
      <c r="AI247" s="1557"/>
      <c r="AJ247" s="1557"/>
      <c r="AK247" s="1557"/>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18" t="s">
        <v>2749</v>
      </c>
      <c r="N248" s="1418"/>
      <c r="O248" s="1418"/>
      <c r="P248" s="1418"/>
      <c r="Q248" s="1418"/>
      <c r="R248" s="1418"/>
      <c r="S248" s="1418"/>
      <c r="T248" s="1418"/>
      <c r="U248" s="1418"/>
      <c r="V248" s="1418"/>
      <c r="W248" s="1418"/>
      <c r="X248" s="1418"/>
      <c r="Y248" s="1418"/>
      <c r="Z248" s="1418"/>
      <c r="AA248" s="1418"/>
      <c r="AB248" s="1418"/>
      <c r="AC248" s="1418"/>
      <c r="AD248" s="1418"/>
      <c r="AE248" s="1418"/>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1182</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48" t="s">
        <v>2643</v>
      </c>
      <c r="N252" s="1535"/>
      <c r="O252" s="1535"/>
      <c r="P252" s="1535"/>
      <c r="Q252" s="1535"/>
      <c r="R252" s="1535"/>
      <c r="S252" s="1535"/>
      <c r="T252" s="1535"/>
      <c r="U252" s="1535"/>
      <c r="V252" s="1535"/>
      <c r="W252" s="1535"/>
      <c r="X252" s="1535"/>
      <c r="Y252" s="1535"/>
      <c r="Z252" s="1535"/>
      <c r="AA252" s="1535"/>
      <c r="AB252" s="1535"/>
      <c r="AC252" s="1535"/>
      <c r="AD252" s="1535"/>
      <c r="AE252" s="1535"/>
      <c r="AF252" s="1535" t="s">
        <v>2658</v>
      </c>
      <c r="AG252" s="1535"/>
      <c r="AH252" s="1535"/>
      <c r="AI252" s="1535"/>
      <c r="AJ252" s="1535"/>
      <c r="AK252" s="1535"/>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05" t="s">
        <v>2653</v>
      </c>
      <c r="N253" s="1505"/>
      <c r="O253" s="1505"/>
      <c r="P253" s="1505"/>
      <c r="Q253" s="1505"/>
      <c r="R253" s="1505"/>
      <c r="S253" s="1505"/>
      <c r="T253" s="1505"/>
      <c r="U253" s="1505"/>
      <c r="V253" s="1505"/>
      <c r="W253" s="1505"/>
      <c r="X253" s="1505"/>
      <c r="Y253" s="1505"/>
      <c r="Z253" s="1505"/>
      <c r="AA253" s="1505"/>
      <c r="AB253" s="1505"/>
      <c r="AC253" s="1505"/>
      <c r="AD253" s="1505"/>
      <c r="AE253" s="1505"/>
      <c r="AF253" s="3" t="s">
        <v>1178</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05" t="s">
        <v>494</v>
      </c>
      <c r="N254" s="1505"/>
      <c r="O254" s="1505"/>
      <c r="P254" s="1505"/>
      <c r="Q254" s="1505"/>
      <c r="R254" s="1505"/>
      <c r="S254" s="1505"/>
      <c r="T254" s="1505"/>
      <c r="V254" s="33" t="s">
        <v>86</v>
      </c>
      <c r="W254" s="1437" t="s">
        <v>2654</v>
      </c>
      <c r="X254" s="1437"/>
      <c r="Y254" s="4" t="s">
        <v>583</v>
      </c>
      <c r="AC254" s="1505">
        <v>90010</v>
      </c>
      <c r="AD254" s="1505"/>
      <c r="AE254" s="1505"/>
      <c r="AF254" s="3" t="s">
        <v>1179</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505" t="s">
        <v>2655</v>
      </c>
      <c r="N255" s="1505"/>
      <c r="O255" s="1505"/>
      <c r="P255" s="1505"/>
      <c r="Q255" s="1505"/>
      <c r="R255" s="1505"/>
      <c r="S255" s="1505"/>
      <c r="T255" s="1505"/>
      <c r="U255" s="1505"/>
      <c r="V255" s="1505"/>
      <c r="W255" s="1505"/>
      <c r="X255" s="1505"/>
      <c r="Y255" s="1505"/>
      <c r="Z255" s="1505"/>
      <c r="AA255" s="1505"/>
      <c r="AB255" s="1505"/>
      <c r="AC255" s="1505"/>
      <c r="AD255" s="1505"/>
      <c r="AE255" s="1505"/>
      <c r="AH255" s="1532">
        <v>51</v>
      </c>
      <c r="AI255" s="1532"/>
      <c r="AJ255" s="1532"/>
      <c r="AK255" s="1532"/>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390">
        <v>2133655000</v>
      </c>
      <c r="N256" s="1390"/>
      <c r="O256" s="1390"/>
      <c r="P256" s="1390"/>
      <c r="Q256" s="1390"/>
      <c r="R256" s="1390"/>
      <c r="S256" s="4" t="s">
        <v>206</v>
      </c>
      <c r="T256" s="4"/>
      <c r="U256" s="1437"/>
      <c r="V256" s="1437"/>
      <c r="W256" s="1437"/>
      <c r="X256" s="4" t="s">
        <v>89</v>
      </c>
      <c r="Z256" s="1390"/>
      <c r="AA256" s="1390"/>
      <c r="AB256" s="1390"/>
      <c r="AC256" s="1390"/>
      <c r="AD256" s="1390"/>
      <c r="AE256" s="1390"/>
      <c r="AU256" s="4"/>
      <c r="AV256" s="4"/>
      <c r="AW256" s="4"/>
      <c r="AX256" s="4"/>
      <c r="AY256" s="4"/>
      <c r="BG256">
        <v>0</v>
      </c>
      <c r="BH256" s="3" t="str">
        <f>""</f>
        <v/>
      </c>
      <c r="BN256" s="34"/>
    </row>
    <row r="257" spans="1:66" ht="12.95" customHeight="1">
      <c r="A257" s="19"/>
      <c r="B257" s="4"/>
      <c r="C257" s="4"/>
      <c r="D257" s="4" t="s">
        <v>90</v>
      </c>
      <c r="E257" s="4"/>
      <c r="F257" s="4"/>
      <c r="M257" s="1522" t="s">
        <v>2656</v>
      </c>
      <c r="N257" s="1522"/>
      <c r="O257" s="1522"/>
      <c r="P257" s="1522"/>
      <c r="Q257" s="1522"/>
      <c r="R257" s="1522"/>
      <c r="S257" s="1522"/>
      <c r="T257" s="1522"/>
      <c r="U257" s="1522"/>
      <c r="V257" s="1522"/>
      <c r="W257" s="1522"/>
      <c r="X257" s="1522"/>
      <c r="Y257" s="1522"/>
      <c r="Z257" s="1522"/>
      <c r="AA257" s="1522"/>
      <c r="AB257" s="1522"/>
      <c r="AC257" s="1522"/>
      <c r="AD257" s="1522"/>
      <c r="AE257" s="1522"/>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70" t="s">
        <v>536</v>
      </c>
      <c r="N258" s="1470"/>
      <c r="O258" s="1470"/>
      <c r="P258" s="1470"/>
      <c r="Q258" s="1470"/>
      <c r="R258" s="1470"/>
      <c r="S258" s="1470"/>
      <c r="T258" s="1470"/>
      <c r="U258" s="204" t="s">
        <v>906</v>
      </c>
      <c r="V258" s="204"/>
      <c r="W258" s="204"/>
      <c r="X258" s="204"/>
      <c r="Y258" s="204"/>
      <c r="Z258" s="204"/>
      <c r="AA258" s="1556" t="s">
        <v>2751</v>
      </c>
      <c r="AB258" s="1557"/>
      <c r="AC258" s="1557"/>
      <c r="AD258" s="1557"/>
      <c r="AE258" s="1557"/>
      <c r="AF258" s="1557"/>
      <c r="AG258" s="1557"/>
      <c r="AH258" s="1557"/>
      <c r="AI258" s="1557"/>
      <c r="AJ258" s="1557"/>
      <c r="AK258" s="1557"/>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35" t="s">
        <v>2659</v>
      </c>
      <c r="N260" s="1535"/>
      <c r="O260" s="1535"/>
      <c r="P260" s="1535"/>
      <c r="Q260" s="1535"/>
      <c r="R260" s="1535"/>
      <c r="S260" s="1535"/>
      <c r="T260" s="1535"/>
      <c r="U260" s="1535"/>
      <c r="V260" s="1535"/>
      <c r="W260" s="1535"/>
      <c r="X260" s="1535"/>
      <c r="Y260" s="1535"/>
      <c r="Z260" s="1535"/>
      <c r="AA260" s="1535"/>
      <c r="AB260" s="1535"/>
      <c r="AC260" s="1535"/>
      <c r="AD260" s="1535"/>
      <c r="AE260" s="1535"/>
      <c r="AF260" s="1535" t="s">
        <v>2661</v>
      </c>
      <c r="AG260" s="1535"/>
      <c r="AH260" s="1535"/>
      <c r="AI260" s="1535"/>
      <c r="AJ260" s="1535"/>
      <c r="AK260" s="1535"/>
      <c r="AU260" s="4"/>
      <c r="AV260" s="4"/>
      <c r="AW260" s="4"/>
      <c r="AX260" s="4"/>
      <c r="AY260" s="4"/>
      <c r="BN260" s="34"/>
    </row>
    <row r="261" spans="1:66" ht="12.95" customHeight="1">
      <c r="A261" s="19"/>
      <c r="B261" s="4"/>
      <c r="C261" s="4"/>
      <c r="D261" s="4" t="s">
        <v>85</v>
      </c>
      <c r="E261" s="4"/>
      <c r="F261" s="4"/>
      <c r="G261" s="4"/>
      <c r="H261" s="4"/>
      <c r="I261" s="4"/>
      <c r="J261" s="4"/>
      <c r="K261" s="4"/>
      <c r="L261" s="4"/>
      <c r="M261" s="1505" t="s">
        <v>2660</v>
      </c>
      <c r="N261" s="1505"/>
      <c r="O261" s="1505"/>
      <c r="P261" s="1505"/>
      <c r="Q261" s="1505"/>
      <c r="R261" s="1505"/>
      <c r="S261" s="1505"/>
      <c r="T261" s="1505"/>
      <c r="U261" s="1505"/>
      <c r="V261" s="1505"/>
      <c r="W261" s="1505"/>
      <c r="X261" s="1505"/>
      <c r="Y261" s="1505"/>
      <c r="Z261" s="1505"/>
      <c r="AA261" s="1505"/>
      <c r="AB261" s="1505"/>
      <c r="AC261" s="1505"/>
      <c r="AD261" s="1505"/>
      <c r="AE261" s="1505"/>
      <c r="AF261" s="3" t="s">
        <v>1178</v>
      </c>
      <c r="AL261" s="4"/>
      <c r="AM261" s="4"/>
      <c r="AN261" s="4"/>
      <c r="AO261" s="4"/>
      <c r="AP261" s="4"/>
      <c r="AQ261" s="4"/>
      <c r="AR261" s="4"/>
      <c r="AS261" s="4"/>
      <c r="AT261" s="4"/>
      <c r="BN261" s="34"/>
    </row>
    <row r="262" spans="1:66" ht="12.95" customHeight="1">
      <c r="A262" s="19"/>
      <c r="B262" s="4"/>
      <c r="C262" s="4"/>
      <c r="D262" s="4" t="s">
        <v>580</v>
      </c>
      <c r="E262" s="4"/>
      <c r="M262" s="1505" t="s">
        <v>2662</v>
      </c>
      <c r="N262" s="1505"/>
      <c r="O262" s="1505"/>
      <c r="P262" s="1505"/>
      <c r="Q262" s="1505"/>
      <c r="R262" s="1505"/>
      <c r="S262" s="1505"/>
      <c r="T262" s="1505"/>
      <c r="V262" s="33" t="s">
        <v>86</v>
      </c>
      <c r="W262" s="1437" t="s">
        <v>2654</v>
      </c>
      <c r="X262" s="1437"/>
      <c r="Y262" s="4" t="s">
        <v>583</v>
      </c>
      <c r="AC262" s="1505">
        <v>92507</v>
      </c>
      <c r="AD262" s="1505"/>
      <c r="AE262" s="1505"/>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505" t="s">
        <v>2663</v>
      </c>
      <c r="N263" s="1505"/>
      <c r="O263" s="1505"/>
      <c r="P263" s="1505"/>
      <c r="Q263" s="1505"/>
      <c r="R263" s="1505"/>
      <c r="S263" s="1505"/>
      <c r="T263" s="1505"/>
      <c r="U263" s="1505"/>
      <c r="V263" s="1505"/>
      <c r="W263" s="1505"/>
      <c r="X263" s="1505"/>
      <c r="Y263" s="1505"/>
      <c r="Z263" s="1505"/>
      <c r="AA263" s="1505"/>
      <c r="AB263" s="1505"/>
      <c r="AC263" s="1505"/>
      <c r="AD263" s="1505"/>
      <c r="AE263" s="1505"/>
      <c r="AH263" s="1532">
        <v>49</v>
      </c>
      <c r="AI263" s="1532"/>
      <c r="AJ263" s="1532"/>
      <c r="AK263" s="1532"/>
      <c r="AL263" s="4"/>
      <c r="AM263" s="4"/>
      <c r="AN263" s="4"/>
      <c r="AO263" s="4"/>
      <c r="AP263" s="4"/>
      <c r="AQ263" s="4"/>
      <c r="AR263" s="4"/>
      <c r="AS263" s="4"/>
      <c r="AT263" s="4"/>
    </row>
    <row r="264" spans="1:66" ht="12.95" customHeight="1">
      <c r="A264" s="19"/>
      <c r="B264" s="4"/>
      <c r="C264" s="4"/>
      <c r="D264" s="4" t="s">
        <v>88</v>
      </c>
      <c r="E264" s="4"/>
      <c r="F264" s="4"/>
      <c r="M264" s="1390">
        <v>9515386244</v>
      </c>
      <c r="N264" s="1390"/>
      <c r="O264" s="1390"/>
      <c r="P264" s="1390"/>
      <c r="Q264" s="1390"/>
      <c r="R264" s="1390"/>
      <c r="S264" s="4" t="s">
        <v>206</v>
      </c>
      <c r="T264" s="4"/>
      <c r="U264" s="1437"/>
      <c r="V264" s="1437"/>
      <c r="W264" s="1437"/>
      <c r="X264" s="4" t="s">
        <v>89</v>
      </c>
      <c r="Z264" s="1390"/>
      <c r="AA264" s="1390"/>
      <c r="AB264" s="1390"/>
      <c r="AC264" s="1390"/>
      <c r="AD264" s="1390"/>
      <c r="AE264" s="1390"/>
      <c r="AU264" s="4"/>
      <c r="AV264" s="4"/>
      <c r="AW264" s="4"/>
      <c r="AX264" s="4"/>
      <c r="AY264" s="4"/>
      <c r="BN264" s="34"/>
    </row>
    <row r="265" spans="1:66" ht="12.95" customHeight="1">
      <c r="A265" s="19"/>
      <c r="B265" s="4"/>
      <c r="C265" s="4"/>
      <c r="D265" s="4" t="s">
        <v>90</v>
      </c>
      <c r="E265" s="4"/>
      <c r="F265" s="4"/>
      <c r="M265" s="1522" t="s">
        <v>2664</v>
      </c>
      <c r="N265" s="1522"/>
      <c r="O265" s="1522"/>
      <c r="P265" s="1522"/>
      <c r="Q265" s="1522"/>
      <c r="R265" s="1522"/>
      <c r="S265" s="1522"/>
      <c r="T265" s="1522"/>
      <c r="U265" s="1522"/>
      <c r="V265" s="1522"/>
      <c r="W265" s="1522"/>
      <c r="X265" s="1522"/>
      <c r="Y265" s="1522"/>
      <c r="Z265" s="1522"/>
      <c r="AA265" s="1522"/>
      <c r="AB265" s="1522"/>
      <c r="AC265" s="1522"/>
      <c r="AD265" s="1522"/>
      <c r="AE265" s="1522"/>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70" t="s">
        <v>534</v>
      </c>
      <c r="N266" s="1470"/>
      <c r="O266" s="1470"/>
      <c r="P266" s="1470"/>
      <c r="Q266" s="1470"/>
      <c r="R266" s="1470"/>
      <c r="S266" s="1470"/>
      <c r="T266" s="1470"/>
      <c r="U266" s="204" t="s">
        <v>906</v>
      </c>
      <c r="V266" s="204"/>
      <c r="W266" s="204"/>
      <c r="X266" s="204"/>
      <c r="Y266" s="204"/>
      <c r="Z266" s="204"/>
      <c r="AA266" s="1557" t="s">
        <v>2665</v>
      </c>
      <c r="AB266" s="1557"/>
      <c r="AC266" s="1557"/>
      <c r="AD266" s="1557"/>
      <c r="AE266" s="1557"/>
      <c r="AF266" s="1557"/>
      <c r="AG266" s="1557"/>
      <c r="AH266" s="1557"/>
      <c r="AI266" s="1557"/>
      <c r="AJ266" s="1557"/>
      <c r="AK266" s="1557"/>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35"/>
      <c r="N268" s="1535"/>
      <c r="O268" s="1535"/>
      <c r="P268" s="1535"/>
      <c r="Q268" s="1535"/>
      <c r="R268" s="1535"/>
      <c r="S268" s="1535"/>
      <c r="T268" s="1535"/>
      <c r="U268" s="1535"/>
      <c r="V268" s="1535"/>
      <c r="W268" s="1535"/>
      <c r="X268" s="1535"/>
      <c r="Y268" s="1535"/>
      <c r="Z268" s="1535"/>
      <c r="AA268" s="1535"/>
      <c r="AB268" s="1535"/>
      <c r="AC268" s="1535"/>
      <c r="AD268" s="1535"/>
      <c r="AE268" s="1535"/>
      <c r="AF268" s="1535" t="s">
        <v>307</v>
      </c>
      <c r="AG268" s="1535"/>
      <c r="AH268" s="1535"/>
      <c r="AI268" s="1535"/>
      <c r="AJ268" s="1535"/>
      <c r="AK268" s="1535"/>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05"/>
      <c r="N269" s="1505"/>
      <c r="O269" s="1505"/>
      <c r="P269" s="1505"/>
      <c r="Q269" s="1505"/>
      <c r="R269" s="1505"/>
      <c r="S269" s="1505"/>
      <c r="T269" s="1505"/>
      <c r="U269" s="1505"/>
      <c r="V269" s="1505"/>
      <c r="W269" s="1505"/>
      <c r="X269" s="1505"/>
      <c r="Y269" s="1505"/>
      <c r="Z269" s="1505"/>
      <c r="AA269" s="1505"/>
      <c r="AB269" s="1505"/>
      <c r="AC269" s="1505"/>
      <c r="AD269" s="1505"/>
      <c r="AE269" s="1505"/>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05"/>
      <c r="N270" s="1505"/>
      <c r="O270" s="1505"/>
      <c r="P270" s="1505"/>
      <c r="Q270" s="1505"/>
      <c r="R270" s="1505"/>
      <c r="S270" s="1505"/>
      <c r="T270" s="1505"/>
      <c r="V270" s="33" t="s">
        <v>86</v>
      </c>
      <c r="W270" s="1437"/>
      <c r="X270" s="1437"/>
      <c r="Y270" s="4" t="s">
        <v>583</v>
      </c>
      <c r="AC270" s="1505"/>
      <c r="AD270" s="1505"/>
      <c r="AE270" s="1505"/>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05"/>
      <c r="N271" s="1505"/>
      <c r="O271" s="1505"/>
      <c r="P271" s="1505"/>
      <c r="Q271" s="1505"/>
      <c r="R271" s="1505"/>
      <c r="S271" s="1505"/>
      <c r="T271" s="1505"/>
      <c r="U271" s="1505"/>
      <c r="V271" s="1505"/>
      <c r="W271" s="1505"/>
      <c r="X271" s="1505"/>
      <c r="Y271" s="1505"/>
      <c r="Z271" s="1505"/>
      <c r="AA271" s="1505"/>
      <c r="AB271" s="1505"/>
      <c r="AC271" s="1505"/>
      <c r="AD271" s="1505"/>
      <c r="AE271" s="1505"/>
      <c r="AH271" s="1532"/>
      <c r="AI271" s="1532"/>
      <c r="AJ271" s="1532"/>
      <c r="AK271" s="1532"/>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90"/>
      <c r="N272" s="1390"/>
      <c r="O272" s="1390"/>
      <c r="P272" s="1390"/>
      <c r="Q272" s="1390"/>
      <c r="R272" s="1390"/>
      <c r="S272" s="4" t="s">
        <v>206</v>
      </c>
      <c r="T272" s="4"/>
      <c r="U272" s="1437"/>
      <c r="V272" s="1437"/>
      <c r="W272" s="1437"/>
      <c r="X272" s="4" t="s">
        <v>89</v>
      </c>
      <c r="Z272" s="1390"/>
      <c r="AA272" s="1390"/>
      <c r="AB272" s="1390"/>
      <c r="AC272" s="1390"/>
      <c r="AD272" s="1390"/>
      <c r="AE272" s="1390"/>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22"/>
      <c r="N273" s="1522"/>
      <c r="O273" s="1522"/>
      <c r="P273" s="1522"/>
      <c r="Q273" s="1522"/>
      <c r="R273" s="1522"/>
      <c r="S273" s="1522"/>
      <c r="T273" s="1522"/>
      <c r="U273" s="1522"/>
      <c r="V273" s="1522"/>
      <c r="W273" s="1522"/>
      <c r="X273" s="1522"/>
      <c r="Y273" s="1522"/>
      <c r="Z273" s="1522"/>
      <c r="AA273" s="1534"/>
      <c r="AB273" s="1534"/>
      <c r="AC273" s="1534"/>
      <c r="AD273" s="1534"/>
      <c r="AE273" s="1534"/>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70" t="s">
        <v>307</v>
      </c>
      <c r="N274" s="1470"/>
      <c r="O274" s="1470"/>
      <c r="P274" s="1470"/>
      <c r="Q274" s="1470"/>
      <c r="R274" s="1470"/>
      <c r="S274" s="1470"/>
      <c r="T274" s="1470"/>
      <c r="U274" s="204" t="s">
        <v>906</v>
      </c>
      <c r="V274" s="204"/>
      <c r="W274" s="204"/>
      <c r="X274" s="204"/>
      <c r="Y274" s="204"/>
      <c r="Z274" s="204"/>
      <c r="AA274" s="1563"/>
      <c r="AB274" s="1563"/>
      <c r="AC274" s="1563"/>
      <c r="AD274" s="1563"/>
      <c r="AE274" s="1563"/>
      <c r="AF274" s="1563"/>
      <c r="AG274" s="1563"/>
      <c r="AH274" s="1563"/>
      <c r="AI274" s="1563"/>
      <c r="AJ274" s="1563"/>
      <c r="AK274" s="1563"/>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561" t="str">
        <f>IFERROR(BO254,"")</f>
        <v>Joint Venture</v>
      </c>
      <c r="U276" s="1561"/>
      <c r="V276" s="1561"/>
      <c r="W276" s="1561"/>
      <c r="X276" s="1561"/>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05" t="s">
        <v>173</v>
      </c>
      <c r="E279" s="1505"/>
      <c r="F279" s="1505"/>
      <c r="G279" s="1505"/>
      <c r="H279" s="1505"/>
      <c r="J279" t="s">
        <v>279</v>
      </c>
      <c r="X279" s="1533">
        <v>46296</v>
      </c>
      <c r="Y279" s="1533"/>
      <c r="Z279" s="1533"/>
      <c r="AA279" s="1533"/>
      <c r="AB279" s="1533"/>
      <c r="AC279" s="1533"/>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35" t="s">
        <v>2666</v>
      </c>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05" t="s">
        <v>2660</v>
      </c>
      <c r="M284" s="1505"/>
      <c r="N284" s="1505"/>
      <c r="O284" s="1505"/>
      <c r="P284" s="1505"/>
      <c r="Q284" s="1505"/>
      <c r="R284" s="1505"/>
      <c r="S284" s="1505"/>
      <c r="T284" s="1505"/>
      <c r="U284" s="1505"/>
      <c r="V284" s="1505"/>
      <c r="W284" s="1505"/>
      <c r="X284" s="1505"/>
      <c r="Y284" s="1505"/>
      <c r="Z284" s="1505"/>
      <c r="AA284" s="1505"/>
      <c r="AB284" s="1505"/>
      <c r="AC284" s="1505"/>
      <c r="AD284" s="1505"/>
      <c r="AK284" s="3"/>
      <c r="AL284" s="3"/>
      <c r="AM284" s="3"/>
      <c r="AN284" s="3"/>
      <c r="AO284" s="3"/>
      <c r="AP284" s="3"/>
      <c r="AQ284" s="3"/>
      <c r="AR284" s="3"/>
      <c r="AS284" s="3"/>
      <c r="AT284" s="3"/>
      <c r="AU284" s="3"/>
      <c r="AV284" s="3"/>
      <c r="AW284" s="3"/>
      <c r="AX284" s="3"/>
      <c r="AY284" s="3"/>
    </row>
    <row r="285" spans="1:51" ht="12.95" customHeight="1">
      <c r="D285" s="4" t="s">
        <v>580</v>
      </c>
      <c r="E285" s="4"/>
      <c r="L285" s="1505" t="s">
        <v>67</v>
      </c>
      <c r="M285" s="1505"/>
      <c r="N285" s="1505"/>
      <c r="O285" s="1505"/>
      <c r="P285" s="1505"/>
      <c r="Q285" s="1505"/>
      <c r="R285" s="1505"/>
      <c r="S285" s="1505"/>
      <c r="U285" s="33" t="s">
        <v>86</v>
      </c>
      <c r="V285" s="1437" t="s">
        <v>2654</v>
      </c>
      <c r="W285" s="1437"/>
      <c r="X285" s="4" t="s">
        <v>583</v>
      </c>
      <c r="AB285" s="1505">
        <v>92507</v>
      </c>
      <c r="AC285" s="1505"/>
      <c r="AD285" s="1505"/>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05" t="s">
        <v>2663</v>
      </c>
      <c r="M286" s="1505"/>
      <c r="N286" s="1505"/>
      <c r="O286" s="1505"/>
      <c r="P286" s="1505"/>
      <c r="Q286" s="1505"/>
      <c r="R286" s="1505"/>
      <c r="S286" s="1505"/>
      <c r="T286" s="1505"/>
      <c r="U286" s="1505"/>
      <c r="V286" s="1505"/>
      <c r="W286" s="1505"/>
      <c r="X286" s="1505"/>
      <c r="Y286" s="1505"/>
      <c r="Z286" s="1505"/>
      <c r="AA286" s="1505"/>
      <c r="AB286" s="1505"/>
      <c r="AC286" s="1505"/>
      <c r="AD286" s="1505"/>
      <c r="AI286" s="4"/>
      <c r="AJ286" s="4"/>
      <c r="AK286" s="3"/>
      <c r="AL286" s="3"/>
      <c r="AM286" s="3"/>
      <c r="AN286" s="3"/>
      <c r="AO286" s="3"/>
      <c r="AP286" s="3"/>
      <c r="AQ286" s="3"/>
      <c r="AR286" s="3"/>
      <c r="AS286" s="3"/>
      <c r="AT286" s="3"/>
    </row>
    <row r="287" spans="1:51" ht="12.95" customHeight="1">
      <c r="D287" s="4" t="s">
        <v>88</v>
      </c>
      <c r="E287" s="4"/>
      <c r="F287" s="4"/>
      <c r="L287" s="1390">
        <v>9515386244</v>
      </c>
      <c r="M287" s="1390"/>
      <c r="N287" s="1390"/>
      <c r="O287" s="1390"/>
      <c r="P287" s="1390"/>
      <c r="Q287" s="1390"/>
      <c r="R287" s="4" t="s">
        <v>206</v>
      </c>
      <c r="S287" s="4"/>
      <c r="T287" s="1437"/>
      <c r="U287" s="1437"/>
      <c r="V287" s="1437"/>
      <c r="W287" s="4" t="s">
        <v>89</v>
      </c>
      <c r="Y287" s="1390"/>
      <c r="Z287" s="1390"/>
      <c r="AA287" s="1390"/>
      <c r="AB287" s="1390"/>
      <c r="AC287" s="1390"/>
      <c r="AD287" s="1390"/>
    </row>
    <row r="288" spans="1:51" ht="12.95" customHeight="1">
      <c r="D288" s="4" t="s">
        <v>90</v>
      </c>
      <c r="E288" s="4"/>
      <c r="F288" s="4"/>
      <c r="L288" s="1522" t="s">
        <v>2664</v>
      </c>
      <c r="M288" s="1522"/>
      <c r="N288" s="1522"/>
      <c r="O288" s="1522"/>
      <c r="P288" s="1522"/>
      <c r="Q288" s="1522"/>
      <c r="R288" s="1522"/>
      <c r="S288" s="1522"/>
      <c r="T288" s="1522"/>
      <c r="U288" s="1522"/>
      <c r="V288" s="1522"/>
      <c r="W288" s="1522"/>
      <c r="X288" s="1522"/>
      <c r="Y288" s="1522"/>
      <c r="Z288" s="1522"/>
      <c r="AA288" s="1522"/>
      <c r="AB288" s="1522"/>
      <c r="AC288" s="1522"/>
      <c r="AD288" s="1522"/>
      <c r="AF288" s="4"/>
      <c r="AG288" s="4"/>
      <c r="AH288" s="4"/>
      <c r="AI288" s="4"/>
      <c r="AJ288" s="4"/>
      <c r="AU288" s="3"/>
      <c r="AV288" s="3"/>
      <c r="AW288" s="3"/>
      <c r="AX288" s="3"/>
      <c r="AY288" s="3"/>
    </row>
    <row r="289" spans="1:51" ht="12.95" customHeight="1">
      <c r="D289" s="3" t="s">
        <v>623</v>
      </c>
      <c r="E289" s="3"/>
      <c r="F289" s="3"/>
      <c r="G289" s="3"/>
      <c r="H289" s="3"/>
      <c r="I289" s="3"/>
      <c r="L289" s="1562" t="s">
        <v>2667</v>
      </c>
      <c r="M289" s="1562"/>
      <c r="N289" s="1562"/>
      <c r="O289" s="1562"/>
      <c r="P289" s="1562"/>
      <c r="Q289" s="1562"/>
      <c r="R289" s="1562"/>
      <c r="S289" s="1562"/>
      <c r="T289" s="1562"/>
      <c r="U289" s="1562"/>
      <c r="V289" s="1562"/>
      <c r="W289" s="1562"/>
      <c r="X289" s="1562"/>
      <c r="Y289" s="1562"/>
      <c r="Z289" s="1562"/>
      <c r="AA289" s="1562"/>
      <c r="AB289" s="1562"/>
      <c r="AC289" s="1562"/>
      <c r="AD289" s="1562"/>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26" t="s">
        <v>541</v>
      </c>
      <c r="B291" s="1526"/>
      <c r="C291" s="1526"/>
      <c r="D291" s="1526"/>
      <c r="E291" s="1526"/>
      <c r="F291" s="1526"/>
      <c r="G291" s="1526"/>
      <c r="H291" s="1526"/>
      <c r="I291" s="1526"/>
      <c r="J291" s="1526"/>
      <c r="K291" s="1526"/>
      <c r="L291" s="1526"/>
      <c r="M291" s="1526"/>
      <c r="N291" s="1526"/>
      <c r="O291" s="1526"/>
      <c r="P291" s="1526"/>
      <c r="Q291" s="1526"/>
      <c r="R291" s="1526"/>
      <c r="S291" s="1526"/>
      <c r="T291" s="1526"/>
      <c r="U291" s="1526"/>
      <c r="V291" s="1526"/>
      <c r="W291" s="1526"/>
      <c r="X291" s="1526"/>
      <c r="Y291" s="1526"/>
      <c r="Z291" s="1526"/>
      <c r="AA291" s="1526"/>
      <c r="AB291" s="1526"/>
      <c r="AC291" s="1526"/>
      <c r="AD291" s="1526"/>
      <c r="AE291" s="1526"/>
      <c r="AF291" s="1526"/>
      <c r="AG291" s="1526"/>
      <c r="AH291" s="1526"/>
      <c r="AI291" s="1526"/>
      <c r="AJ291" s="1526"/>
      <c r="AK291" s="1526"/>
      <c r="AL291" s="1526"/>
      <c r="AM291" s="1526"/>
      <c r="AN291" s="1526"/>
      <c r="AO291" s="1526"/>
      <c r="AP291" s="1526"/>
      <c r="AQ291" s="1526"/>
      <c r="AR291" s="1526"/>
      <c r="AS291" s="1526"/>
      <c r="AT291" s="1526"/>
      <c r="AU291" s="95"/>
      <c r="AV291" s="95"/>
      <c r="AW291" s="95"/>
      <c r="AX291" s="95"/>
      <c r="AY291" s="95"/>
    </row>
    <row r="292" spans="1:51" ht="12.95" customHeight="1">
      <c r="A292" s="1526"/>
      <c r="B292" s="1526"/>
      <c r="C292" s="1526"/>
      <c r="D292" s="1526"/>
      <c r="E292" s="1526"/>
      <c r="F292" s="1526"/>
      <c r="G292" s="1526"/>
      <c r="H292" s="1526"/>
      <c r="I292" s="1526"/>
      <c r="J292" s="1526"/>
      <c r="K292" s="1526"/>
      <c r="L292" s="1526"/>
      <c r="M292" s="1526"/>
      <c r="N292" s="1526"/>
      <c r="O292" s="1526"/>
      <c r="P292" s="1526"/>
      <c r="Q292" s="1526"/>
      <c r="R292" s="1526"/>
      <c r="S292" s="1526"/>
      <c r="T292" s="1526"/>
      <c r="U292" s="1526"/>
      <c r="V292" s="1526"/>
      <c r="W292" s="1526"/>
      <c r="X292" s="1526"/>
      <c r="Y292" s="1526"/>
      <c r="Z292" s="1526"/>
      <c r="AA292" s="1526"/>
      <c r="AB292" s="1526"/>
      <c r="AC292" s="1526"/>
      <c r="AD292" s="1526"/>
      <c r="AE292" s="1526"/>
      <c r="AF292" s="1526"/>
      <c r="AG292" s="1526"/>
      <c r="AH292" s="1526"/>
      <c r="AI292" s="1526"/>
      <c r="AJ292" s="1526"/>
      <c r="AK292" s="1526"/>
      <c r="AL292" s="1526"/>
      <c r="AM292" s="1526"/>
      <c r="AN292" s="1526"/>
      <c r="AO292" s="1526"/>
      <c r="AP292" s="1526"/>
      <c r="AQ292" s="1526"/>
      <c r="AR292" s="1526"/>
      <c r="AS292" s="1526"/>
      <c r="AT292" s="1526"/>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18" t="s">
        <v>2657</v>
      </c>
      <c r="I296" s="1418"/>
      <c r="J296" s="1418"/>
      <c r="K296" s="1418"/>
      <c r="L296" s="1418"/>
      <c r="M296" s="1418"/>
      <c r="N296" s="1418"/>
      <c r="O296" s="1418"/>
      <c r="P296" s="1418"/>
      <c r="Q296" s="1418"/>
      <c r="R296" s="1418"/>
      <c r="T296" s="3" t="s">
        <v>567</v>
      </c>
      <c r="V296" s="3"/>
      <c r="W296" s="3"/>
      <c r="X296" s="3"/>
      <c r="Y296" s="3"/>
      <c r="AA296" s="1418" t="s">
        <v>2670</v>
      </c>
      <c r="AB296" s="1418"/>
      <c r="AC296" s="1418"/>
      <c r="AD296" s="1418"/>
      <c r="AE296" s="1418"/>
      <c r="AF296" s="1418"/>
      <c r="AG296" s="1418"/>
      <c r="AH296" s="1418"/>
      <c r="AI296" s="1418"/>
      <c r="AJ296" s="1418"/>
      <c r="AK296" s="1418"/>
    </row>
    <row r="297" spans="1:51" ht="12.95" customHeight="1">
      <c r="B297" s="3" t="s">
        <v>471</v>
      </c>
      <c r="C297" s="3"/>
      <c r="D297" s="3"/>
      <c r="E297" s="3"/>
      <c r="F297" s="3"/>
      <c r="H297" s="1470" t="s">
        <v>2668</v>
      </c>
      <c r="I297" s="1470"/>
      <c r="J297" s="1470"/>
      <c r="K297" s="1470"/>
      <c r="L297" s="1470"/>
      <c r="M297" s="1470"/>
      <c r="N297" s="1470"/>
      <c r="O297" s="1470"/>
      <c r="P297" s="1470"/>
      <c r="Q297" s="1470"/>
      <c r="R297" s="1470"/>
      <c r="T297" s="3" t="s">
        <v>471</v>
      </c>
      <c r="V297" s="3"/>
      <c r="W297" s="3"/>
      <c r="X297" s="3"/>
      <c r="Y297" s="3"/>
      <c r="AA297" s="1470" t="s">
        <v>2671</v>
      </c>
      <c r="AB297" s="1470"/>
      <c r="AC297" s="1470"/>
      <c r="AD297" s="1470"/>
      <c r="AE297" s="1470"/>
      <c r="AF297" s="1470"/>
      <c r="AG297" s="1470"/>
      <c r="AH297" s="1470"/>
      <c r="AI297" s="1470"/>
      <c r="AJ297" s="1470"/>
      <c r="AK297" s="1470"/>
    </row>
    <row r="298" spans="1:51" ht="12.95" customHeight="1">
      <c r="B298" s="3" t="s">
        <v>472</v>
      </c>
      <c r="C298" s="3"/>
      <c r="D298" s="3"/>
      <c r="E298" s="3"/>
      <c r="F298" s="3"/>
      <c r="H298" s="1470" t="s">
        <v>2669</v>
      </c>
      <c r="I298" s="1470"/>
      <c r="J298" s="1470"/>
      <c r="K298" s="1470"/>
      <c r="L298" s="1470"/>
      <c r="M298" s="1470"/>
      <c r="N298" s="1470"/>
      <c r="O298" s="1470"/>
      <c r="P298" s="1470"/>
      <c r="Q298" s="1470"/>
      <c r="R298" s="1470"/>
      <c r="T298" s="3" t="s">
        <v>75</v>
      </c>
      <c r="V298" s="3"/>
      <c r="W298" s="3"/>
      <c r="X298" s="3"/>
      <c r="Y298" s="3"/>
      <c r="AA298" s="1470" t="s">
        <v>2672</v>
      </c>
      <c r="AB298" s="1470"/>
      <c r="AC298" s="1470"/>
      <c r="AD298" s="1470"/>
      <c r="AE298" s="1470"/>
      <c r="AF298" s="1470"/>
      <c r="AG298" s="1470"/>
      <c r="AH298" s="1470"/>
      <c r="AI298" s="1470"/>
      <c r="AJ298" s="1470"/>
      <c r="AK298" s="1470"/>
    </row>
    <row r="299" spans="1:51" ht="12.95" customHeight="1">
      <c r="B299" s="3" t="s">
        <v>87</v>
      </c>
      <c r="C299" s="3"/>
      <c r="D299" s="3"/>
      <c r="E299" s="3"/>
      <c r="F299" s="3"/>
      <c r="H299" s="1470" t="s">
        <v>2655</v>
      </c>
      <c r="I299" s="1470"/>
      <c r="J299" s="1470"/>
      <c r="K299" s="1470"/>
      <c r="L299" s="1470"/>
      <c r="M299" s="1470"/>
      <c r="N299" s="1470"/>
      <c r="O299" s="1470"/>
      <c r="P299" s="1470"/>
      <c r="Q299" s="1470"/>
      <c r="R299" s="1470"/>
      <c r="T299" s="3" t="s">
        <v>87</v>
      </c>
      <c r="V299" s="3"/>
      <c r="W299" s="3"/>
      <c r="X299" s="3"/>
      <c r="Y299" s="3"/>
      <c r="AA299" s="1470" t="s">
        <v>2673</v>
      </c>
      <c r="AB299" s="1470"/>
      <c r="AC299" s="1470"/>
      <c r="AD299" s="1470"/>
      <c r="AE299" s="1470"/>
      <c r="AF299" s="1470"/>
      <c r="AG299" s="1470"/>
      <c r="AH299" s="1470"/>
      <c r="AI299" s="1470"/>
      <c r="AJ299" s="1470"/>
      <c r="AK299" s="1470"/>
    </row>
    <row r="300" spans="1:51" ht="12.95" customHeight="1">
      <c r="B300" s="3" t="s">
        <v>88</v>
      </c>
      <c r="C300" s="3"/>
      <c r="D300" s="3"/>
      <c r="E300" s="3"/>
      <c r="F300" s="3"/>
      <c r="G300" s="3"/>
      <c r="H300" s="1536">
        <v>2133655000</v>
      </c>
      <c r="I300" s="1536"/>
      <c r="J300" s="1536"/>
      <c r="K300" s="1536"/>
      <c r="L300" s="1536"/>
      <c r="M300" s="1536"/>
      <c r="N300" s="4" t="s">
        <v>206</v>
      </c>
      <c r="O300" s="4"/>
      <c r="P300" s="1505"/>
      <c r="Q300" s="1505"/>
      <c r="R300" s="1505"/>
      <c r="S300" s="3"/>
      <c r="T300" s="3" t="s">
        <v>88</v>
      </c>
      <c r="V300" s="3"/>
      <c r="W300" s="3"/>
      <c r="X300" s="3"/>
      <c r="Y300" s="3"/>
      <c r="AA300" s="1536">
        <v>3103944045</v>
      </c>
      <c r="AB300" s="1536"/>
      <c r="AC300" s="1536"/>
      <c r="AD300" s="1536"/>
      <c r="AE300" s="1536"/>
      <c r="AF300" s="1536"/>
      <c r="AG300" s="4" t="s">
        <v>206</v>
      </c>
      <c r="AH300" s="4"/>
      <c r="AI300" s="1505"/>
      <c r="AJ300" s="1505"/>
      <c r="AK300" s="1505"/>
    </row>
    <row r="301" spans="1:51" ht="12.95" customHeight="1">
      <c r="B301" s="3" t="s">
        <v>89</v>
      </c>
      <c r="C301" s="3"/>
      <c r="D301" s="3"/>
      <c r="E301" s="3"/>
      <c r="F301" s="3"/>
      <c r="G301" s="3"/>
      <c r="H301" s="1390"/>
      <c r="I301" s="1390"/>
      <c r="J301" s="1390"/>
      <c r="K301" s="1390"/>
      <c r="L301" s="1390"/>
      <c r="M301" s="1390"/>
      <c r="N301" s="4"/>
      <c r="O301" s="4"/>
      <c r="P301" s="35"/>
      <c r="Q301" s="35"/>
      <c r="R301" s="35"/>
      <c r="S301" s="3"/>
      <c r="T301" s="3" t="s">
        <v>89</v>
      </c>
      <c r="V301" s="3"/>
      <c r="W301" s="3"/>
      <c r="X301" s="3"/>
      <c r="Y301" s="3"/>
      <c r="AA301" s="1390"/>
      <c r="AB301" s="1390"/>
      <c r="AC301" s="1390"/>
      <c r="AD301" s="1390"/>
      <c r="AE301" s="1390"/>
      <c r="AF301" s="1390"/>
      <c r="AG301" s="4"/>
      <c r="AH301" s="4"/>
      <c r="AI301" s="35"/>
      <c r="AJ301" s="35"/>
      <c r="AK301" s="35"/>
    </row>
    <row r="302" spans="1:51" ht="12.95" customHeight="1">
      <c r="B302" s="3" t="s">
        <v>76</v>
      </c>
      <c r="C302" s="3"/>
      <c r="D302" s="3"/>
      <c r="E302" s="3"/>
      <c r="F302" s="3"/>
      <c r="G302" s="3"/>
      <c r="H302" s="1470" t="s">
        <v>2656</v>
      </c>
      <c r="I302" s="1470"/>
      <c r="J302" s="1470"/>
      <c r="K302" s="1470"/>
      <c r="L302" s="1470"/>
      <c r="M302" s="1470"/>
      <c r="N302" s="1418"/>
      <c r="O302" s="1418"/>
      <c r="P302" s="1418"/>
      <c r="Q302" s="1418"/>
      <c r="R302" s="1418"/>
      <c r="S302" s="3"/>
      <c r="T302" s="3" t="s">
        <v>76</v>
      </c>
      <c r="V302" s="3"/>
      <c r="W302" s="3"/>
      <c r="X302" s="3"/>
      <c r="Y302" s="3"/>
      <c r="AA302" s="1470" t="s">
        <v>2674</v>
      </c>
      <c r="AB302" s="1470"/>
      <c r="AC302" s="1470"/>
      <c r="AD302" s="1470"/>
      <c r="AE302" s="1470"/>
      <c r="AF302" s="1470"/>
      <c r="AG302" s="1418"/>
      <c r="AH302" s="1418"/>
      <c r="AI302" s="1418"/>
      <c r="AJ302" s="1418"/>
      <c r="AK302" s="1418"/>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18" t="s">
        <v>2675</v>
      </c>
      <c r="I304" s="1418"/>
      <c r="J304" s="1418"/>
      <c r="K304" s="1418"/>
      <c r="L304" s="1418"/>
      <c r="M304" s="1418"/>
      <c r="N304" s="1418"/>
      <c r="O304" s="1418"/>
      <c r="P304" s="1418"/>
      <c r="Q304" s="1418"/>
      <c r="R304" s="1418"/>
      <c r="T304" s="3" t="s">
        <v>364</v>
      </c>
      <c r="V304" s="3"/>
      <c r="W304" s="3"/>
      <c r="X304" s="3"/>
      <c r="Y304" s="3"/>
      <c r="AA304" s="1418" t="s">
        <v>2681</v>
      </c>
      <c r="AB304" s="1418"/>
      <c r="AC304" s="1418"/>
      <c r="AD304" s="1418"/>
      <c r="AE304" s="1418"/>
      <c r="AF304" s="1418"/>
      <c r="AG304" s="1418"/>
      <c r="AH304" s="1418"/>
      <c r="AI304" s="1418"/>
      <c r="AJ304" s="1418"/>
      <c r="AK304" s="1418"/>
    </row>
    <row r="305" spans="2:72" ht="12.95" customHeight="1">
      <c r="B305" s="3" t="s">
        <v>471</v>
      </c>
      <c r="C305" s="3"/>
      <c r="D305" s="3"/>
      <c r="E305" s="3"/>
      <c r="F305" s="3"/>
      <c r="H305" s="1470" t="s">
        <v>2676</v>
      </c>
      <c r="I305" s="1470"/>
      <c r="J305" s="1470"/>
      <c r="K305" s="1470"/>
      <c r="L305" s="1470"/>
      <c r="M305" s="1470"/>
      <c r="N305" s="1470"/>
      <c r="O305" s="1470"/>
      <c r="P305" s="1470"/>
      <c r="Q305" s="1470"/>
      <c r="R305" s="1470"/>
      <c r="T305" s="3" t="s">
        <v>471</v>
      </c>
      <c r="V305" s="3"/>
      <c r="W305" s="3"/>
      <c r="X305" s="3"/>
      <c r="Y305" s="3"/>
      <c r="AA305" s="1470" t="s">
        <v>2682</v>
      </c>
      <c r="AB305" s="1470"/>
      <c r="AC305" s="1470"/>
      <c r="AD305" s="1470"/>
      <c r="AE305" s="1470"/>
      <c r="AF305" s="1470"/>
      <c r="AG305" s="1470"/>
      <c r="AH305" s="1470"/>
      <c r="AI305" s="1470"/>
      <c r="AJ305" s="1470"/>
      <c r="AK305" s="147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70" t="s">
        <v>2677</v>
      </c>
      <c r="I306" s="1470"/>
      <c r="J306" s="1470"/>
      <c r="K306" s="1470"/>
      <c r="L306" s="1470"/>
      <c r="M306" s="1470"/>
      <c r="N306" s="1470"/>
      <c r="O306" s="1470"/>
      <c r="P306" s="1470"/>
      <c r="Q306" s="1470"/>
      <c r="R306" s="1470"/>
      <c r="T306" s="3" t="s">
        <v>75</v>
      </c>
      <c r="V306" s="3"/>
      <c r="W306" s="3"/>
      <c r="X306" s="3"/>
      <c r="Y306" s="3"/>
      <c r="AA306" s="1470" t="s">
        <v>2669</v>
      </c>
      <c r="AB306" s="1470"/>
      <c r="AC306" s="1470"/>
      <c r="AD306" s="1470"/>
      <c r="AE306" s="1470"/>
      <c r="AF306" s="1470"/>
      <c r="AG306" s="1470"/>
      <c r="AH306" s="1470"/>
      <c r="AI306" s="1470"/>
      <c r="AJ306" s="1470"/>
      <c r="AK306" s="147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70" t="s">
        <v>2678</v>
      </c>
      <c r="I307" s="1470"/>
      <c r="J307" s="1470"/>
      <c r="K307" s="1470"/>
      <c r="L307" s="1470"/>
      <c r="M307" s="1470"/>
      <c r="N307" s="1470"/>
      <c r="O307" s="1470"/>
      <c r="P307" s="1470"/>
      <c r="Q307" s="1470"/>
      <c r="R307" s="1470"/>
      <c r="T307" s="3" t="s">
        <v>87</v>
      </c>
      <c r="V307" s="3"/>
      <c r="W307" s="3"/>
      <c r="X307" s="3"/>
      <c r="Y307" s="3"/>
      <c r="AA307" s="1470" t="s">
        <v>2655</v>
      </c>
      <c r="AB307" s="1470"/>
      <c r="AC307" s="1470"/>
      <c r="AD307" s="1470"/>
      <c r="AE307" s="1470"/>
      <c r="AF307" s="1470"/>
      <c r="AG307" s="1470"/>
      <c r="AH307" s="1470"/>
      <c r="AI307" s="1470"/>
      <c r="AJ307" s="1470"/>
      <c r="AK307" s="1470"/>
    </row>
    <row r="308" spans="2:72" ht="12.95" customHeight="1">
      <c r="B308" s="3" t="s">
        <v>88</v>
      </c>
      <c r="C308" s="3"/>
      <c r="D308" s="3"/>
      <c r="E308" s="3"/>
      <c r="F308" s="3"/>
      <c r="G308" s="3"/>
      <c r="H308" s="1536">
        <v>2132398048</v>
      </c>
      <c r="I308" s="1536"/>
      <c r="J308" s="1536"/>
      <c r="K308" s="1536"/>
      <c r="L308" s="1536"/>
      <c r="M308" s="1536"/>
      <c r="N308" s="4" t="s">
        <v>206</v>
      </c>
      <c r="O308" s="4"/>
      <c r="P308" s="1505"/>
      <c r="Q308" s="1505"/>
      <c r="R308" s="1505"/>
      <c r="S308" s="3"/>
      <c r="T308" s="3" t="s">
        <v>88</v>
      </c>
      <c r="V308" s="3"/>
      <c r="W308" s="3"/>
      <c r="X308" s="3"/>
      <c r="Y308" s="3"/>
      <c r="AA308" s="1536">
        <v>2133655000</v>
      </c>
      <c r="AB308" s="1536"/>
      <c r="AC308" s="1536"/>
      <c r="AD308" s="1536"/>
      <c r="AE308" s="1536"/>
      <c r="AF308" s="1536"/>
      <c r="AG308" s="4" t="s">
        <v>206</v>
      </c>
      <c r="AH308" s="4"/>
      <c r="AI308" s="1505"/>
      <c r="AJ308" s="1505"/>
      <c r="AK308" s="1505"/>
    </row>
    <row r="309" spans="2:72" ht="12.95" customHeight="1">
      <c r="B309" s="3" t="s">
        <v>89</v>
      </c>
      <c r="C309" s="3"/>
      <c r="D309" s="3"/>
      <c r="E309" s="3"/>
      <c r="F309" s="3"/>
      <c r="G309" s="3"/>
      <c r="H309" s="1390" t="s">
        <v>2679</v>
      </c>
      <c r="I309" s="1390"/>
      <c r="J309" s="1390"/>
      <c r="K309" s="1390"/>
      <c r="L309" s="1390"/>
      <c r="M309" s="1390"/>
      <c r="N309" s="4"/>
      <c r="O309" s="4"/>
      <c r="P309" s="35"/>
      <c r="Q309" s="35"/>
      <c r="R309" s="35"/>
      <c r="S309" s="3"/>
      <c r="T309" s="3" t="s">
        <v>89</v>
      </c>
      <c r="V309" s="3"/>
      <c r="W309" s="3"/>
      <c r="X309" s="3"/>
      <c r="Y309" s="3"/>
      <c r="AA309" s="1390"/>
      <c r="AB309" s="1390"/>
      <c r="AC309" s="1390"/>
      <c r="AD309" s="1390"/>
      <c r="AE309" s="1390"/>
      <c r="AF309" s="1390"/>
      <c r="AG309" s="4"/>
      <c r="AH309" s="4"/>
      <c r="AI309" s="35"/>
      <c r="AJ309" s="35"/>
      <c r="AK309" s="35"/>
    </row>
    <row r="310" spans="2:72" ht="12.95" customHeight="1">
      <c r="B310" s="3" t="s">
        <v>76</v>
      </c>
      <c r="C310" s="3"/>
      <c r="D310" s="3"/>
      <c r="E310" s="3"/>
      <c r="F310" s="3"/>
      <c r="G310" s="3"/>
      <c r="H310" s="1470" t="s">
        <v>2680</v>
      </c>
      <c r="I310" s="1470"/>
      <c r="J310" s="1470"/>
      <c r="K310" s="1470"/>
      <c r="L310" s="1470"/>
      <c r="M310" s="1470"/>
      <c r="N310" s="1418"/>
      <c r="O310" s="1418"/>
      <c r="P310" s="1418"/>
      <c r="Q310" s="1418"/>
      <c r="R310" s="1418"/>
      <c r="S310" s="3"/>
      <c r="T310" s="3" t="s">
        <v>76</v>
      </c>
      <c r="V310" s="3"/>
      <c r="W310" s="3"/>
      <c r="X310" s="3"/>
      <c r="Y310" s="3"/>
      <c r="AA310" s="1470" t="s">
        <v>2656</v>
      </c>
      <c r="AB310" s="1470"/>
      <c r="AC310" s="1470"/>
      <c r="AD310" s="1470"/>
      <c r="AE310" s="1470"/>
      <c r="AF310" s="1470"/>
      <c r="AG310" s="1418"/>
      <c r="AH310" s="1418"/>
      <c r="AI310" s="1418"/>
      <c r="AJ310" s="1418"/>
      <c r="AK310" s="1418"/>
    </row>
    <row r="311" spans="2:72" ht="12.95" customHeight="1"/>
    <row r="312" spans="2:72" ht="12.95" customHeight="1">
      <c r="B312" s="3" t="s">
        <v>77</v>
      </c>
      <c r="C312" s="3"/>
      <c r="D312" s="3"/>
      <c r="E312" s="3"/>
      <c r="F312" s="3"/>
      <c r="H312" s="1418" t="s">
        <v>2683</v>
      </c>
      <c r="I312" s="1418"/>
      <c r="J312" s="1418"/>
      <c r="K312" s="1418"/>
      <c r="L312" s="1418"/>
      <c r="M312" s="1418"/>
      <c r="N312" s="1418"/>
      <c r="O312" s="1418"/>
      <c r="P312" s="1418"/>
      <c r="Q312" s="1418"/>
      <c r="R312" s="1418"/>
      <c r="T312" s="4" t="s">
        <v>878</v>
      </c>
      <c r="V312" s="3"/>
      <c r="W312" s="3"/>
      <c r="X312" s="3"/>
      <c r="Y312" s="3"/>
      <c r="AA312" s="1499" t="s">
        <v>591</v>
      </c>
      <c r="AB312" s="1418"/>
      <c r="AC312" s="1418"/>
      <c r="AD312" s="1418"/>
      <c r="AE312" s="1418"/>
      <c r="AF312" s="1418"/>
      <c r="AG312" s="1418"/>
      <c r="AH312" s="1418"/>
      <c r="AI312" s="1418"/>
      <c r="AJ312" s="1418"/>
      <c r="AK312" s="1418"/>
    </row>
    <row r="313" spans="2:72" ht="12.95" customHeight="1">
      <c r="B313" s="3" t="s">
        <v>471</v>
      </c>
      <c r="C313" s="3"/>
      <c r="D313" s="3"/>
      <c r="E313" s="3"/>
      <c r="F313" s="3"/>
      <c r="H313" s="1470" t="s">
        <v>2684</v>
      </c>
      <c r="I313" s="1470"/>
      <c r="J313" s="1470"/>
      <c r="K313" s="1470"/>
      <c r="L313" s="1470"/>
      <c r="M313" s="1470"/>
      <c r="N313" s="1470"/>
      <c r="O313" s="1470"/>
      <c r="P313" s="1470"/>
      <c r="Q313" s="1470"/>
      <c r="R313" s="1470"/>
      <c r="T313" s="3" t="s">
        <v>471</v>
      </c>
      <c r="V313" s="3"/>
      <c r="W313" s="3"/>
      <c r="X313" s="3"/>
      <c r="Y313" s="3"/>
      <c r="AA313" s="1470" t="s">
        <v>591</v>
      </c>
      <c r="AB313" s="1470"/>
      <c r="AC313" s="1470"/>
      <c r="AD313" s="1470"/>
      <c r="AE313" s="1470"/>
      <c r="AF313" s="1470"/>
      <c r="AG313" s="1470"/>
      <c r="AH313" s="1470"/>
      <c r="AI313" s="1470"/>
      <c r="AJ313" s="1470"/>
      <c r="AK313" s="1470"/>
    </row>
    <row r="314" spans="2:72" ht="12.95" customHeight="1">
      <c r="B314" s="3" t="s">
        <v>472</v>
      </c>
      <c r="C314" s="3"/>
      <c r="D314" s="3"/>
      <c r="E314" s="3"/>
      <c r="F314" s="3"/>
      <c r="H314" s="1470" t="s">
        <v>2685</v>
      </c>
      <c r="I314" s="1470"/>
      <c r="J314" s="1470"/>
      <c r="K314" s="1470"/>
      <c r="L314" s="1470"/>
      <c r="M314" s="1470"/>
      <c r="N314" s="1470"/>
      <c r="O314" s="1470"/>
      <c r="P314" s="1470"/>
      <c r="Q314" s="1470"/>
      <c r="R314" s="1470"/>
      <c r="T314" s="3" t="s">
        <v>75</v>
      </c>
      <c r="V314" s="3"/>
      <c r="W314" s="3"/>
      <c r="X314" s="3"/>
      <c r="Y314" s="3"/>
      <c r="AA314" s="1470" t="s">
        <v>591</v>
      </c>
      <c r="AB314" s="1470"/>
      <c r="AC314" s="1470"/>
      <c r="AD314" s="1470"/>
      <c r="AE314" s="1470"/>
      <c r="AF314" s="1470"/>
      <c r="AG314" s="1470"/>
      <c r="AH314" s="1470"/>
      <c r="AI314" s="1470"/>
      <c r="AJ314" s="1470"/>
      <c r="AK314" s="1470"/>
    </row>
    <row r="315" spans="2:72" ht="12.95" customHeight="1">
      <c r="B315" s="3" t="s">
        <v>87</v>
      </c>
      <c r="C315" s="3"/>
      <c r="D315" s="3"/>
      <c r="E315" s="3"/>
      <c r="F315" s="3"/>
      <c r="H315" s="1470" t="s">
        <v>2686</v>
      </c>
      <c r="I315" s="1470"/>
      <c r="J315" s="1470"/>
      <c r="K315" s="1470"/>
      <c r="L315" s="1470"/>
      <c r="M315" s="1470"/>
      <c r="N315" s="1470"/>
      <c r="O315" s="1470"/>
      <c r="P315" s="1470"/>
      <c r="Q315" s="1470"/>
      <c r="R315" s="1470"/>
      <c r="T315" s="3" t="s">
        <v>87</v>
      </c>
      <c r="V315" s="3"/>
      <c r="W315" s="3"/>
      <c r="X315" s="3"/>
      <c r="Y315" s="3"/>
      <c r="AA315" s="1470" t="s">
        <v>591</v>
      </c>
      <c r="AB315" s="1470"/>
      <c r="AC315" s="1470"/>
      <c r="AD315" s="1470"/>
      <c r="AE315" s="1470"/>
      <c r="AF315" s="1470"/>
      <c r="AG315" s="1470"/>
      <c r="AH315" s="1470"/>
      <c r="AI315" s="1470"/>
      <c r="AJ315" s="1470"/>
      <c r="AK315" s="1470"/>
    </row>
    <row r="316" spans="2:72" ht="12.95" customHeight="1">
      <c r="B316" s="3" t="s">
        <v>88</v>
      </c>
      <c r="C316" s="3"/>
      <c r="D316" s="3"/>
      <c r="E316" s="3"/>
      <c r="F316" s="3"/>
      <c r="G316" s="3"/>
      <c r="H316" s="1536">
        <v>4153568000</v>
      </c>
      <c r="I316" s="1536"/>
      <c r="J316" s="1536"/>
      <c r="K316" s="1536"/>
      <c r="L316" s="1536"/>
      <c r="M316" s="1536"/>
      <c r="N316" s="4" t="s">
        <v>206</v>
      </c>
      <c r="O316" s="4"/>
      <c r="P316" s="1505"/>
      <c r="Q316" s="1505"/>
      <c r="R316" s="1505"/>
      <c r="S316" s="3"/>
      <c r="T316" s="3" t="s">
        <v>88</v>
      </c>
      <c r="V316" s="3"/>
      <c r="W316" s="3"/>
      <c r="X316" s="3"/>
      <c r="Y316" s="3"/>
      <c r="AA316" s="1564" t="s">
        <v>591</v>
      </c>
      <c r="AB316" s="1536"/>
      <c r="AC316" s="1536"/>
      <c r="AD316" s="1536"/>
      <c r="AE316" s="1536"/>
      <c r="AF316" s="1536"/>
      <c r="AG316" s="4" t="s">
        <v>206</v>
      </c>
      <c r="AH316" s="4"/>
      <c r="AI316" s="1505"/>
      <c r="AJ316" s="1505"/>
      <c r="AK316" s="1505"/>
    </row>
    <row r="317" spans="2:72" ht="12.95" customHeight="1">
      <c r="B317" s="3" t="s">
        <v>89</v>
      </c>
      <c r="C317" s="3"/>
      <c r="D317" s="3"/>
      <c r="E317" s="3"/>
      <c r="F317" s="3"/>
      <c r="G317" s="3"/>
      <c r="H317" s="1390">
        <v>4153568001</v>
      </c>
      <c r="I317" s="1390"/>
      <c r="J317" s="1390"/>
      <c r="K317" s="1390"/>
      <c r="L317" s="1390"/>
      <c r="M317" s="1390"/>
      <c r="N317" s="4"/>
      <c r="O317" s="4"/>
      <c r="P317" s="35"/>
      <c r="Q317" s="35"/>
      <c r="R317" s="35"/>
      <c r="S317" s="3"/>
      <c r="T317" s="3" t="s">
        <v>89</v>
      </c>
      <c r="V317" s="3"/>
      <c r="W317" s="3"/>
      <c r="X317" s="3"/>
      <c r="Y317" s="3"/>
      <c r="AA317" s="1390" t="s">
        <v>591</v>
      </c>
      <c r="AB317" s="1390"/>
      <c r="AC317" s="1390"/>
      <c r="AD317" s="1390"/>
      <c r="AE317" s="1390"/>
      <c r="AF317" s="1390"/>
      <c r="AG317" s="4"/>
      <c r="AH317" s="4"/>
      <c r="AI317" s="35"/>
      <c r="AJ317" s="35"/>
      <c r="AK317" s="35"/>
    </row>
    <row r="318" spans="2:72" ht="12.95" customHeight="1">
      <c r="B318" s="3" t="s">
        <v>76</v>
      </c>
      <c r="C318" s="3"/>
      <c r="D318" s="3"/>
      <c r="E318" s="3"/>
      <c r="F318" s="3"/>
      <c r="G318" s="3"/>
      <c r="H318" s="1470" t="s">
        <v>2687</v>
      </c>
      <c r="I318" s="1470"/>
      <c r="J318" s="1470"/>
      <c r="K318" s="1470"/>
      <c r="L318" s="1470"/>
      <c r="M318" s="1470"/>
      <c r="N318" s="1418"/>
      <c r="O318" s="1418"/>
      <c r="P318" s="1418"/>
      <c r="Q318" s="1418"/>
      <c r="R318" s="1418"/>
      <c r="S318" s="3"/>
      <c r="T318" s="3" t="s">
        <v>76</v>
      </c>
      <c r="V318" s="3"/>
      <c r="W318" s="3"/>
      <c r="X318" s="3"/>
      <c r="Y318" s="3"/>
      <c r="AA318" s="1470" t="s">
        <v>591</v>
      </c>
      <c r="AB318" s="1470"/>
      <c r="AC318" s="1470"/>
      <c r="AD318" s="1470"/>
      <c r="AE318" s="1470"/>
      <c r="AF318" s="1470"/>
      <c r="AG318" s="1418"/>
      <c r="AH318" s="1418"/>
      <c r="AI318" s="1418"/>
      <c r="AJ318" s="1418"/>
      <c r="AK318" s="1418"/>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18" t="s">
        <v>2683</v>
      </c>
      <c r="I320" s="1418"/>
      <c r="J320" s="1418"/>
      <c r="K320" s="1418"/>
      <c r="L320" s="1418"/>
      <c r="M320" s="1418"/>
      <c r="N320" s="1418"/>
      <c r="O320" s="1418"/>
      <c r="P320" s="1418"/>
      <c r="Q320" s="1418"/>
      <c r="R320" s="1418"/>
      <c r="S320" s="3"/>
      <c r="T320" s="3" t="s">
        <v>365</v>
      </c>
      <c r="V320" s="3"/>
      <c r="W320" s="3"/>
      <c r="X320" s="3"/>
      <c r="Y320" s="3"/>
      <c r="AA320" s="1499" t="s">
        <v>2733</v>
      </c>
      <c r="AB320" s="1418"/>
      <c r="AC320" s="1418"/>
      <c r="AD320" s="1418"/>
      <c r="AE320" s="1418"/>
      <c r="AF320" s="1418"/>
      <c r="AG320" s="1418"/>
      <c r="AH320" s="1418"/>
      <c r="AI320" s="1418"/>
      <c r="AJ320" s="1418"/>
      <c r="AK320" s="1418"/>
    </row>
    <row r="321" spans="2:37" ht="12.95" customHeight="1">
      <c r="B321" s="3" t="s">
        <v>471</v>
      </c>
      <c r="C321" s="3"/>
      <c r="D321" s="3"/>
      <c r="E321" s="3"/>
      <c r="F321" s="3"/>
      <c r="H321" s="1470" t="s">
        <v>2684</v>
      </c>
      <c r="I321" s="1470"/>
      <c r="J321" s="1470"/>
      <c r="K321" s="1470"/>
      <c r="L321" s="1470"/>
      <c r="M321" s="1470"/>
      <c r="N321" s="1470"/>
      <c r="O321" s="1470"/>
      <c r="P321" s="1470"/>
      <c r="Q321" s="1470"/>
      <c r="R321" s="1470"/>
      <c r="S321" s="3"/>
      <c r="T321" s="3" t="s">
        <v>471</v>
      </c>
      <c r="V321" s="3"/>
      <c r="W321" s="3"/>
      <c r="X321" s="3"/>
      <c r="Y321" s="3"/>
      <c r="AA321" s="1470" t="s">
        <v>2743</v>
      </c>
      <c r="AB321" s="1470"/>
      <c r="AC321" s="1470"/>
      <c r="AD321" s="1470"/>
      <c r="AE321" s="1470"/>
      <c r="AF321" s="1470"/>
      <c r="AG321" s="1470"/>
      <c r="AH321" s="1470"/>
      <c r="AI321" s="1470"/>
      <c r="AJ321" s="1470"/>
      <c r="AK321" s="1470"/>
    </row>
    <row r="322" spans="2:37" ht="12.95" customHeight="1">
      <c r="B322" s="3" t="s">
        <v>472</v>
      </c>
      <c r="C322" s="3"/>
      <c r="D322" s="3"/>
      <c r="E322" s="3"/>
      <c r="F322" s="3"/>
      <c r="H322" s="1470" t="s">
        <v>2685</v>
      </c>
      <c r="I322" s="1470"/>
      <c r="J322" s="1470"/>
      <c r="K322" s="1470"/>
      <c r="L322" s="1470"/>
      <c r="M322" s="1470"/>
      <c r="N322" s="1470"/>
      <c r="O322" s="1470"/>
      <c r="P322" s="1470"/>
      <c r="Q322" s="1470"/>
      <c r="R322" s="1470"/>
      <c r="S322" s="3"/>
      <c r="T322" s="3" t="s">
        <v>75</v>
      </c>
      <c r="V322" s="3"/>
      <c r="W322" s="3"/>
      <c r="X322" s="3"/>
      <c r="Y322" s="3"/>
      <c r="AA322" s="1470" t="s">
        <v>2692</v>
      </c>
      <c r="AB322" s="1470"/>
      <c r="AC322" s="1470"/>
      <c r="AD322" s="1470"/>
      <c r="AE322" s="1470"/>
      <c r="AF322" s="1470"/>
      <c r="AG322" s="1470"/>
      <c r="AH322" s="1470"/>
      <c r="AI322" s="1470"/>
      <c r="AJ322" s="1470"/>
      <c r="AK322" s="1470"/>
    </row>
    <row r="323" spans="2:37" ht="12.95" customHeight="1">
      <c r="B323" s="3" t="s">
        <v>87</v>
      </c>
      <c r="C323" s="3"/>
      <c r="D323" s="3"/>
      <c r="E323" s="3"/>
      <c r="F323" s="3"/>
      <c r="H323" s="1470" t="s">
        <v>2686</v>
      </c>
      <c r="I323" s="1470"/>
      <c r="J323" s="1470"/>
      <c r="K323" s="1470"/>
      <c r="L323" s="1470"/>
      <c r="M323" s="1470"/>
      <c r="N323" s="1470"/>
      <c r="O323" s="1470"/>
      <c r="P323" s="1470"/>
      <c r="Q323" s="1470"/>
      <c r="R323" s="1470"/>
      <c r="S323" s="3"/>
      <c r="T323" s="3" t="s">
        <v>87</v>
      </c>
      <c r="V323" s="3"/>
      <c r="W323" s="3"/>
      <c r="X323" s="3"/>
      <c r="Y323" s="3"/>
      <c r="AA323" s="1562" t="s">
        <v>2734</v>
      </c>
      <c r="AB323" s="1470"/>
      <c r="AC323" s="1470"/>
      <c r="AD323" s="1470"/>
      <c r="AE323" s="1470"/>
      <c r="AF323" s="1470"/>
      <c r="AG323" s="1470"/>
      <c r="AH323" s="1470"/>
      <c r="AI323" s="1470"/>
      <c r="AJ323" s="1470"/>
      <c r="AK323" s="1470"/>
    </row>
    <row r="324" spans="2:37" ht="12.95" customHeight="1">
      <c r="B324" s="3" t="s">
        <v>88</v>
      </c>
      <c r="C324" s="3"/>
      <c r="D324" s="3"/>
      <c r="E324" s="3"/>
      <c r="F324" s="3"/>
      <c r="G324" s="3"/>
      <c r="H324" s="1536">
        <v>4153568000</v>
      </c>
      <c r="I324" s="1536"/>
      <c r="J324" s="1536"/>
      <c r="K324" s="1536"/>
      <c r="L324" s="1536"/>
      <c r="M324" s="1536"/>
      <c r="N324" s="4" t="s">
        <v>206</v>
      </c>
      <c r="O324" s="4"/>
      <c r="P324" s="1505"/>
      <c r="Q324" s="1505"/>
      <c r="R324" s="1505"/>
      <c r="S324" s="3"/>
      <c r="T324" s="3" t="s">
        <v>88</v>
      </c>
      <c r="V324" s="3"/>
      <c r="W324" s="3"/>
      <c r="X324" s="3"/>
      <c r="Y324" s="3"/>
      <c r="AA324" s="1536">
        <v>9494381056</v>
      </c>
      <c r="AB324" s="1536"/>
      <c r="AC324" s="1536"/>
      <c r="AD324" s="1536"/>
      <c r="AE324" s="1536"/>
      <c r="AF324" s="1536"/>
      <c r="AG324" s="4" t="s">
        <v>206</v>
      </c>
      <c r="AH324" s="4"/>
      <c r="AI324" s="1505"/>
      <c r="AJ324" s="1505"/>
      <c r="AK324" s="1505"/>
    </row>
    <row r="325" spans="2:37" ht="12.95" customHeight="1">
      <c r="B325" s="3" t="s">
        <v>89</v>
      </c>
      <c r="C325" s="3"/>
      <c r="D325" s="3"/>
      <c r="E325" s="3"/>
      <c r="F325" s="3"/>
      <c r="G325" s="3"/>
      <c r="H325" s="1390">
        <v>4153568001</v>
      </c>
      <c r="I325" s="1390"/>
      <c r="J325" s="1390"/>
      <c r="K325" s="1390"/>
      <c r="L325" s="1390"/>
      <c r="M325" s="1390"/>
      <c r="N325" s="4"/>
      <c r="O325" s="4"/>
      <c r="P325" s="35"/>
      <c r="Q325" s="35"/>
      <c r="R325" s="35"/>
      <c r="S325" s="3"/>
      <c r="T325" s="3" t="s">
        <v>89</v>
      </c>
      <c r="V325" s="3"/>
      <c r="W325" s="3"/>
      <c r="X325" s="3"/>
      <c r="Y325" s="3"/>
      <c r="AA325" s="1390"/>
      <c r="AB325" s="1390"/>
      <c r="AC325" s="1390"/>
      <c r="AD325" s="1390"/>
      <c r="AE325" s="1390"/>
      <c r="AF325" s="1390"/>
      <c r="AG325" s="4"/>
      <c r="AH325" s="4"/>
      <c r="AI325" s="35"/>
      <c r="AJ325" s="35"/>
      <c r="AK325" s="35"/>
    </row>
    <row r="326" spans="2:37" ht="12.95" customHeight="1">
      <c r="B326" s="3" t="s">
        <v>76</v>
      </c>
      <c r="C326" s="3"/>
      <c r="D326" s="3"/>
      <c r="E326" s="3"/>
      <c r="F326" s="3"/>
      <c r="G326" s="3"/>
      <c r="H326" s="1470" t="s">
        <v>2687</v>
      </c>
      <c r="I326" s="1470"/>
      <c r="J326" s="1470"/>
      <c r="K326" s="1470"/>
      <c r="L326" s="1470"/>
      <c r="M326" s="1470"/>
      <c r="N326" s="1418"/>
      <c r="O326" s="1418"/>
      <c r="P326" s="1418"/>
      <c r="Q326" s="1418"/>
      <c r="R326" s="1418"/>
      <c r="S326" s="3"/>
      <c r="T326" s="3" t="s">
        <v>76</v>
      </c>
      <c r="V326" s="3"/>
      <c r="W326" s="3"/>
      <c r="X326" s="3"/>
      <c r="Y326" s="3"/>
      <c r="AA326" s="1470" t="s">
        <v>2744</v>
      </c>
      <c r="AB326" s="1470"/>
      <c r="AC326" s="1470"/>
      <c r="AD326" s="1470"/>
      <c r="AE326" s="1470"/>
      <c r="AF326" s="1470"/>
      <c r="AG326" s="1418"/>
      <c r="AH326" s="1418"/>
      <c r="AI326" s="1418"/>
      <c r="AJ326" s="1418"/>
      <c r="AK326" s="1418"/>
    </row>
    <row r="327" spans="2:37" ht="12.95" customHeight="1"/>
    <row r="328" spans="2:37" ht="12.95" customHeight="1">
      <c r="B328" s="4" t="s">
        <v>908</v>
      </c>
      <c r="C328" s="3"/>
      <c r="D328" s="3"/>
      <c r="E328" s="3"/>
      <c r="F328" s="3"/>
      <c r="H328" s="1418" t="s">
        <v>2666</v>
      </c>
      <c r="I328" s="1418"/>
      <c r="J328" s="1418"/>
      <c r="K328" s="1418"/>
      <c r="L328" s="1418"/>
      <c r="M328" s="1418"/>
      <c r="N328" s="1418"/>
      <c r="O328" s="1418"/>
      <c r="P328" s="1418"/>
      <c r="Q328" s="1418"/>
      <c r="R328" s="1418"/>
      <c r="T328" s="3" t="s">
        <v>366</v>
      </c>
      <c r="V328" s="3"/>
      <c r="W328" s="3"/>
      <c r="X328" s="3"/>
      <c r="Y328" s="3"/>
      <c r="AA328" s="1418" t="s">
        <v>2690</v>
      </c>
      <c r="AB328" s="1418"/>
      <c r="AC328" s="1418"/>
      <c r="AD328" s="1418"/>
      <c r="AE328" s="1418"/>
      <c r="AF328" s="1418"/>
      <c r="AG328" s="1418"/>
      <c r="AH328" s="1418"/>
      <c r="AI328" s="1418"/>
      <c r="AJ328" s="1418"/>
      <c r="AK328" s="1418"/>
    </row>
    <row r="329" spans="2:37" ht="12.95" customHeight="1">
      <c r="B329" s="3" t="s">
        <v>471</v>
      </c>
      <c r="C329" s="3"/>
      <c r="D329" s="3"/>
      <c r="E329" s="3"/>
      <c r="F329" s="3"/>
      <c r="H329" s="1470" t="s">
        <v>2688</v>
      </c>
      <c r="I329" s="1470"/>
      <c r="J329" s="1470"/>
      <c r="K329" s="1470"/>
      <c r="L329" s="1470"/>
      <c r="M329" s="1470"/>
      <c r="N329" s="1470"/>
      <c r="O329" s="1470"/>
      <c r="P329" s="1470"/>
      <c r="Q329" s="1470"/>
      <c r="R329" s="1470"/>
      <c r="T329" s="3" t="s">
        <v>471</v>
      </c>
      <c r="V329" s="3"/>
      <c r="W329" s="3"/>
      <c r="X329" s="3"/>
      <c r="Y329" s="3"/>
      <c r="AA329" s="1470" t="s">
        <v>2691</v>
      </c>
      <c r="AB329" s="1470"/>
      <c r="AC329" s="1470"/>
      <c r="AD329" s="1470"/>
      <c r="AE329" s="1470"/>
      <c r="AF329" s="1470"/>
      <c r="AG329" s="1470"/>
      <c r="AH329" s="1470"/>
      <c r="AI329" s="1470"/>
      <c r="AJ329" s="1470"/>
      <c r="AK329" s="1470"/>
    </row>
    <row r="330" spans="2:37" ht="12.95" customHeight="1">
      <c r="B330" s="3" t="s">
        <v>472</v>
      </c>
      <c r="C330" s="3"/>
      <c r="D330" s="3"/>
      <c r="E330" s="3"/>
      <c r="F330" s="3"/>
      <c r="H330" s="1470" t="s">
        <v>2689</v>
      </c>
      <c r="I330" s="1470"/>
      <c r="J330" s="1470"/>
      <c r="K330" s="1470"/>
      <c r="L330" s="1470"/>
      <c r="M330" s="1470"/>
      <c r="N330" s="1470"/>
      <c r="O330" s="1470"/>
      <c r="P330" s="1470"/>
      <c r="Q330" s="1470"/>
      <c r="R330" s="1470"/>
      <c r="T330" s="3" t="s">
        <v>75</v>
      </c>
      <c r="V330" s="3"/>
      <c r="W330" s="3"/>
      <c r="X330" s="3"/>
      <c r="Y330" s="3"/>
      <c r="AA330" s="1470" t="s">
        <v>2692</v>
      </c>
      <c r="AB330" s="1470"/>
      <c r="AC330" s="1470"/>
      <c r="AD330" s="1470"/>
      <c r="AE330" s="1470"/>
      <c r="AF330" s="1470"/>
      <c r="AG330" s="1470"/>
      <c r="AH330" s="1470"/>
      <c r="AI330" s="1470"/>
      <c r="AJ330" s="1470"/>
      <c r="AK330" s="1470"/>
    </row>
    <row r="331" spans="2:37" ht="12.95" customHeight="1">
      <c r="B331" s="3" t="s">
        <v>87</v>
      </c>
      <c r="C331" s="3"/>
      <c r="D331" s="3"/>
      <c r="E331" s="3"/>
      <c r="F331" s="3"/>
      <c r="H331" s="1470" t="s">
        <v>2663</v>
      </c>
      <c r="I331" s="1470"/>
      <c r="J331" s="1470"/>
      <c r="K331" s="1470"/>
      <c r="L331" s="1470"/>
      <c r="M331" s="1470"/>
      <c r="N331" s="1470"/>
      <c r="O331" s="1470"/>
      <c r="P331" s="1470"/>
      <c r="Q331" s="1470"/>
      <c r="R331" s="1470"/>
      <c r="T331" s="3" t="s">
        <v>87</v>
      </c>
      <c r="V331" s="3"/>
      <c r="W331" s="3"/>
      <c r="X331" s="3"/>
      <c r="Y331" s="3"/>
      <c r="AA331" s="1470" t="s">
        <v>2693</v>
      </c>
      <c r="AB331" s="1470"/>
      <c r="AC331" s="1470"/>
      <c r="AD331" s="1470"/>
      <c r="AE331" s="1470"/>
      <c r="AF331" s="1470"/>
      <c r="AG331" s="1470"/>
      <c r="AH331" s="1470"/>
      <c r="AI331" s="1470"/>
      <c r="AJ331" s="1470"/>
      <c r="AK331" s="1470"/>
    </row>
    <row r="332" spans="2:37" ht="12.95" customHeight="1">
      <c r="B332" s="3" t="s">
        <v>88</v>
      </c>
      <c r="C332" s="3"/>
      <c r="D332" s="3"/>
      <c r="E332" s="3"/>
      <c r="F332" s="3"/>
      <c r="G332" s="3"/>
      <c r="H332" s="1536">
        <v>9515386244</v>
      </c>
      <c r="I332" s="1536"/>
      <c r="J332" s="1536"/>
      <c r="K332" s="1536"/>
      <c r="L332" s="1536"/>
      <c r="M332" s="1536"/>
      <c r="N332" s="4" t="s">
        <v>206</v>
      </c>
      <c r="O332" s="4"/>
      <c r="P332" s="1505"/>
      <c r="Q332" s="1505"/>
      <c r="R332" s="1505"/>
      <c r="S332" s="3"/>
      <c r="T332" s="3" t="s">
        <v>88</v>
      </c>
      <c r="V332" s="3"/>
      <c r="W332" s="3"/>
      <c r="X332" s="3"/>
      <c r="Y332" s="3"/>
      <c r="AA332" s="1536">
        <v>9497176450</v>
      </c>
      <c r="AB332" s="1536"/>
      <c r="AC332" s="1536"/>
      <c r="AD332" s="1536"/>
      <c r="AE332" s="1536"/>
      <c r="AF332" s="1536"/>
      <c r="AG332" s="4" t="s">
        <v>206</v>
      </c>
      <c r="AH332" s="4"/>
      <c r="AI332" s="1505"/>
      <c r="AJ332" s="1505"/>
      <c r="AK332" s="1505"/>
    </row>
    <row r="333" spans="2:37" ht="12.95" customHeight="1">
      <c r="B333" s="3" t="s">
        <v>89</v>
      </c>
      <c r="C333" s="3"/>
      <c r="D333" s="3"/>
      <c r="E333" s="3"/>
      <c r="F333" s="3"/>
      <c r="G333" s="3"/>
      <c r="H333" s="1390"/>
      <c r="I333" s="1390"/>
      <c r="J333" s="1390"/>
      <c r="K333" s="1390"/>
      <c r="L333" s="1390"/>
      <c r="M333" s="1390"/>
      <c r="N333" s="4"/>
      <c r="O333" s="4"/>
      <c r="P333" s="35"/>
      <c r="Q333" s="35"/>
      <c r="R333" s="35"/>
      <c r="S333" s="3"/>
      <c r="T333" s="3" t="s">
        <v>89</v>
      </c>
      <c r="V333" s="3"/>
      <c r="W333" s="3"/>
      <c r="X333" s="3"/>
      <c r="Y333" s="3"/>
      <c r="AA333" s="1390"/>
      <c r="AB333" s="1390"/>
      <c r="AC333" s="1390"/>
      <c r="AD333" s="1390"/>
      <c r="AE333" s="1390"/>
      <c r="AF333" s="1390"/>
      <c r="AG333" s="4"/>
      <c r="AH333" s="4"/>
      <c r="AI333" s="35"/>
      <c r="AJ333" s="35"/>
      <c r="AK333" s="35"/>
    </row>
    <row r="334" spans="2:37" ht="12.95" customHeight="1">
      <c r="B334" s="3" t="s">
        <v>76</v>
      </c>
      <c r="C334" s="3"/>
      <c r="D334" s="3"/>
      <c r="E334" s="3"/>
      <c r="F334" s="3"/>
      <c r="G334" s="3"/>
      <c r="H334" s="1470" t="s">
        <v>2664</v>
      </c>
      <c r="I334" s="1470"/>
      <c r="J334" s="1470"/>
      <c r="K334" s="1470"/>
      <c r="L334" s="1470"/>
      <c r="M334" s="1470"/>
      <c r="N334" s="1418"/>
      <c r="O334" s="1418"/>
      <c r="P334" s="1418"/>
      <c r="Q334" s="1418"/>
      <c r="R334" s="1418"/>
      <c r="S334" s="3"/>
      <c r="T334" s="3" t="s">
        <v>76</v>
      </c>
      <c r="V334" s="3"/>
      <c r="W334" s="3"/>
      <c r="X334" s="3"/>
      <c r="Y334" s="3"/>
      <c r="AA334" s="1470" t="s">
        <v>2694</v>
      </c>
      <c r="AB334" s="1470"/>
      <c r="AC334" s="1470"/>
      <c r="AD334" s="1470"/>
      <c r="AE334" s="1470"/>
      <c r="AF334" s="1470"/>
      <c r="AG334" s="1418"/>
      <c r="AH334" s="1418"/>
      <c r="AI334" s="1418"/>
      <c r="AJ334" s="1418"/>
      <c r="AK334" s="1418"/>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18" t="s">
        <v>2695</v>
      </c>
      <c r="I336" s="1418"/>
      <c r="J336" s="1418"/>
      <c r="K336" s="1418"/>
      <c r="L336" s="1418"/>
      <c r="M336" s="1418"/>
      <c r="N336" s="1418"/>
      <c r="O336" s="1418"/>
      <c r="P336" s="1418"/>
      <c r="Q336" s="1418"/>
      <c r="R336" s="1418"/>
      <c r="T336" s="3" t="s">
        <v>368</v>
      </c>
      <c r="V336" s="3"/>
      <c r="W336" s="3"/>
      <c r="X336" s="3"/>
      <c r="Y336" s="3"/>
      <c r="AA336" s="1499" t="s">
        <v>591</v>
      </c>
      <c r="AB336" s="1418"/>
      <c r="AC336" s="1418"/>
      <c r="AD336" s="1418"/>
      <c r="AE336" s="1418"/>
      <c r="AF336" s="1418"/>
      <c r="AG336" s="1418"/>
      <c r="AH336" s="1418"/>
      <c r="AI336" s="1418"/>
      <c r="AJ336" s="1418"/>
      <c r="AK336" s="1418"/>
    </row>
    <row r="337" spans="2:66" ht="12.95" customHeight="1">
      <c r="B337" s="3" t="s">
        <v>471</v>
      </c>
      <c r="C337" s="3"/>
      <c r="D337" s="3"/>
      <c r="E337" s="3"/>
      <c r="F337" s="3"/>
      <c r="H337" s="1470" t="s">
        <v>2696</v>
      </c>
      <c r="I337" s="1470"/>
      <c r="J337" s="1470"/>
      <c r="K337" s="1470"/>
      <c r="L337" s="1470"/>
      <c r="M337" s="1470"/>
      <c r="N337" s="1470"/>
      <c r="O337" s="1470"/>
      <c r="P337" s="1470"/>
      <c r="Q337" s="1470"/>
      <c r="R337" s="1470"/>
      <c r="T337" s="3" t="s">
        <v>471</v>
      </c>
      <c r="V337" s="3"/>
      <c r="W337" s="3"/>
      <c r="X337" s="3"/>
      <c r="Y337" s="3"/>
      <c r="AA337" s="1470" t="s">
        <v>591</v>
      </c>
      <c r="AB337" s="1470"/>
      <c r="AC337" s="1470"/>
      <c r="AD337" s="1470"/>
      <c r="AE337" s="1470"/>
      <c r="AF337" s="1470"/>
      <c r="AG337" s="1470"/>
      <c r="AH337" s="1470"/>
      <c r="AI337" s="1470"/>
      <c r="AJ337" s="1470"/>
      <c r="AK337" s="1470"/>
    </row>
    <row r="338" spans="2:66" ht="12.95" customHeight="1">
      <c r="B338" s="3" t="s">
        <v>472</v>
      </c>
      <c r="C338" s="3"/>
      <c r="D338" s="3"/>
      <c r="E338" s="3"/>
      <c r="F338" s="3"/>
      <c r="H338" s="1470" t="s">
        <v>2697</v>
      </c>
      <c r="I338" s="1470"/>
      <c r="J338" s="1470"/>
      <c r="K338" s="1470"/>
      <c r="L338" s="1470"/>
      <c r="M338" s="1470"/>
      <c r="N338" s="1470"/>
      <c r="O338" s="1470"/>
      <c r="P338" s="1470"/>
      <c r="Q338" s="1470"/>
      <c r="R338" s="1470"/>
      <c r="T338" s="3" t="s">
        <v>75</v>
      </c>
      <c r="V338" s="3"/>
      <c r="W338" s="3"/>
      <c r="X338" s="3"/>
      <c r="Y338" s="3"/>
      <c r="AA338" s="1470" t="s">
        <v>591</v>
      </c>
      <c r="AB338" s="1470"/>
      <c r="AC338" s="1470"/>
      <c r="AD338" s="1470"/>
      <c r="AE338" s="1470"/>
      <c r="AF338" s="1470"/>
      <c r="AG338" s="1470"/>
      <c r="AH338" s="1470"/>
      <c r="AI338" s="1470"/>
      <c r="AJ338" s="1470"/>
      <c r="AK338" s="1470"/>
    </row>
    <row r="339" spans="2:66" ht="12.95" customHeight="1">
      <c r="B339" s="3" t="s">
        <v>87</v>
      </c>
      <c r="C339" s="3"/>
      <c r="D339" s="3"/>
      <c r="E339" s="3"/>
      <c r="F339" s="3"/>
      <c r="H339" s="1470" t="s">
        <v>2698</v>
      </c>
      <c r="I339" s="1470"/>
      <c r="J339" s="1470"/>
      <c r="K339" s="1470"/>
      <c r="L339" s="1470"/>
      <c r="M339" s="1470"/>
      <c r="N339" s="1470"/>
      <c r="O339" s="1470"/>
      <c r="P339" s="1470"/>
      <c r="Q339" s="1470"/>
      <c r="R339" s="1470"/>
      <c r="T339" s="3" t="s">
        <v>87</v>
      </c>
      <c r="V339" s="3"/>
      <c r="W339" s="3"/>
      <c r="X339" s="3"/>
      <c r="Y339" s="3"/>
      <c r="AA339" s="1470" t="s">
        <v>591</v>
      </c>
      <c r="AB339" s="1470"/>
      <c r="AC339" s="1470"/>
      <c r="AD339" s="1470"/>
      <c r="AE339" s="1470"/>
      <c r="AF339" s="1470"/>
      <c r="AG339" s="1470"/>
      <c r="AH339" s="1470"/>
      <c r="AI339" s="1470"/>
      <c r="AJ339" s="1470"/>
      <c r="AK339" s="1470"/>
    </row>
    <row r="340" spans="2:66" ht="12.95" customHeight="1">
      <c r="B340" s="3" t="s">
        <v>88</v>
      </c>
      <c r="C340" s="3"/>
      <c r="D340" s="3"/>
      <c r="E340" s="3"/>
      <c r="F340" s="3"/>
      <c r="G340" s="3"/>
      <c r="H340" s="1536" t="s">
        <v>2699</v>
      </c>
      <c r="I340" s="1536"/>
      <c r="J340" s="1536"/>
      <c r="K340" s="1536"/>
      <c r="L340" s="1536"/>
      <c r="M340" s="1536"/>
      <c r="N340" s="4" t="s">
        <v>206</v>
      </c>
      <c r="O340" s="4"/>
      <c r="P340" s="1505"/>
      <c r="Q340" s="1505"/>
      <c r="R340" s="1505"/>
      <c r="S340" s="3"/>
      <c r="T340" s="3" t="s">
        <v>88</v>
      </c>
      <c r="V340" s="3"/>
      <c r="W340" s="3"/>
      <c r="X340" s="3"/>
      <c r="Y340" s="3"/>
      <c r="AA340" s="1536"/>
      <c r="AB340" s="1536"/>
      <c r="AC340" s="1536"/>
      <c r="AD340" s="1536"/>
      <c r="AE340" s="1536"/>
      <c r="AF340" s="1536"/>
      <c r="AG340" s="4" t="s">
        <v>206</v>
      </c>
      <c r="AH340" s="4"/>
      <c r="AI340" s="1505"/>
      <c r="AJ340" s="1505"/>
      <c r="AK340" s="1505"/>
    </row>
    <row r="341" spans="2:66" ht="12.95" customHeight="1">
      <c r="B341" s="3" t="s">
        <v>89</v>
      </c>
      <c r="C341" s="3"/>
      <c r="D341" s="3"/>
      <c r="E341" s="3"/>
      <c r="F341" s="3"/>
      <c r="G341" s="3"/>
      <c r="H341" s="1390"/>
      <c r="I341" s="1390"/>
      <c r="J341" s="1390"/>
      <c r="K341" s="1390"/>
      <c r="L341" s="1390"/>
      <c r="M341" s="1390"/>
      <c r="N341" s="4"/>
      <c r="O341" s="4"/>
      <c r="P341" s="35"/>
      <c r="Q341" s="35"/>
      <c r="R341" s="35"/>
      <c r="S341" s="3"/>
      <c r="T341" s="3" t="s">
        <v>89</v>
      </c>
      <c r="V341" s="3"/>
      <c r="W341" s="3"/>
      <c r="X341" s="3"/>
      <c r="Y341" s="3"/>
      <c r="AA341" s="1390"/>
      <c r="AB341" s="1390"/>
      <c r="AC341" s="1390"/>
      <c r="AD341" s="1390"/>
      <c r="AE341" s="1390"/>
      <c r="AF341" s="1390"/>
      <c r="AG341" s="4"/>
      <c r="AH341" s="4"/>
      <c r="AI341" s="35"/>
      <c r="AJ341" s="35"/>
      <c r="AK341" s="35"/>
    </row>
    <row r="342" spans="2:66" ht="12.95" customHeight="1">
      <c r="B342" s="3" t="s">
        <v>76</v>
      </c>
      <c r="C342" s="3"/>
      <c r="D342" s="3"/>
      <c r="E342" s="3"/>
      <c r="F342" s="3"/>
      <c r="G342" s="3"/>
      <c r="H342" s="1470" t="s">
        <v>2700</v>
      </c>
      <c r="I342" s="1470"/>
      <c r="J342" s="1470"/>
      <c r="K342" s="1470"/>
      <c r="L342" s="1470"/>
      <c r="M342" s="1470"/>
      <c r="N342" s="1418"/>
      <c r="O342" s="1418"/>
      <c r="P342" s="1418"/>
      <c r="Q342" s="1418"/>
      <c r="R342" s="1418"/>
      <c r="S342" s="3"/>
      <c r="T342" s="3" t="s">
        <v>76</v>
      </c>
      <c r="V342" s="3"/>
      <c r="W342" s="3"/>
      <c r="X342" s="3"/>
      <c r="Y342" s="3"/>
      <c r="AA342" s="1470" t="s">
        <v>591</v>
      </c>
      <c r="AB342" s="1470"/>
      <c r="AC342" s="1470"/>
      <c r="AD342" s="1470"/>
      <c r="AE342" s="1470"/>
      <c r="AF342" s="1470"/>
      <c r="AG342" s="1418"/>
      <c r="AH342" s="1418"/>
      <c r="AI342" s="1418"/>
      <c r="AJ342" s="1418"/>
      <c r="AK342" s="1418"/>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18" t="s">
        <v>2701</v>
      </c>
      <c r="I344" s="1418"/>
      <c r="J344" s="1418"/>
      <c r="K344" s="1418"/>
      <c r="L344" s="1418"/>
      <c r="M344" s="1418"/>
      <c r="N344" s="1418"/>
      <c r="O344" s="1418"/>
      <c r="P344" s="1418"/>
      <c r="Q344" s="1418"/>
      <c r="R344" s="1418"/>
      <c r="T344" s="204" t="s">
        <v>886</v>
      </c>
      <c r="V344" s="3"/>
      <c r="W344" s="3"/>
      <c r="X344" s="3"/>
      <c r="Y344" s="3"/>
      <c r="AA344" s="1418" t="s">
        <v>2707</v>
      </c>
      <c r="AB344" s="1418"/>
      <c r="AC344" s="1418"/>
      <c r="AD344" s="1418"/>
      <c r="AE344" s="1418"/>
      <c r="AF344" s="1418"/>
      <c r="AG344" s="1418"/>
      <c r="AH344" s="1418"/>
      <c r="AI344" s="1418"/>
      <c r="AJ344" s="1418"/>
      <c r="AK344" s="1418"/>
    </row>
    <row r="345" spans="2:66" ht="12.95" customHeight="1">
      <c r="B345" s="3" t="s">
        <v>471</v>
      </c>
      <c r="C345" s="3"/>
      <c r="D345" s="3"/>
      <c r="E345" s="3"/>
      <c r="F345" s="3"/>
      <c r="H345" s="1470" t="s">
        <v>2702</v>
      </c>
      <c r="I345" s="1470"/>
      <c r="J345" s="1470"/>
      <c r="K345" s="1470"/>
      <c r="L345" s="1470"/>
      <c r="M345" s="1470"/>
      <c r="N345" s="1470"/>
      <c r="O345" s="1470"/>
      <c r="P345" s="1470"/>
      <c r="Q345" s="1470"/>
      <c r="R345" s="1470"/>
      <c r="T345" s="3" t="s">
        <v>471</v>
      </c>
      <c r="V345" s="3"/>
      <c r="W345" s="3"/>
      <c r="X345" s="3"/>
      <c r="Y345" s="3"/>
      <c r="AA345" s="1470" t="s">
        <v>2708</v>
      </c>
      <c r="AB345" s="1470"/>
      <c r="AC345" s="1470"/>
      <c r="AD345" s="1470"/>
      <c r="AE345" s="1470"/>
      <c r="AF345" s="1470"/>
      <c r="AG345" s="1470"/>
      <c r="AH345" s="1470"/>
      <c r="AI345" s="1470"/>
      <c r="AJ345" s="1470"/>
      <c r="AK345" s="1470"/>
    </row>
    <row r="346" spans="2:66" ht="12.95" customHeight="1">
      <c r="B346" s="3" t="s">
        <v>75</v>
      </c>
      <c r="C346" s="3"/>
      <c r="D346" s="3"/>
      <c r="E346" s="3"/>
      <c r="F346" s="3"/>
      <c r="H346" s="1470" t="s">
        <v>2703</v>
      </c>
      <c r="I346" s="1470"/>
      <c r="J346" s="1470"/>
      <c r="K346" s="1470"/>
      <c r="L346" s="1470"/>
      <c r="M346" s="1470"/>
      <c r="N346" s="1470"/>
      <c r="O346" s="1470"/>
      <c r="P346" s="1470"/>
      <c r="Q346" s="1470"/>
      <c r="R346" s="1470"/>
      <c r="T346" s="3" t="s">
        <v>75</v>
      </c>
      <c r="V346" s="3"/>
      <c r="W346" s="3"/>
      <c r="X346" s="3"/>
      <c r="Y346" s="3"/>
      <c r="AA346" s="1470" t="s">
        <v>2709</v>
      </c>
      <c r="AB346" s="1470"/>
      <c r="AC346" s="1470"/>
      <c r="AD346" s="1470"/>
      <c r="AE346" s="1470"/>
      <c r="AF346" s="1470"/>
      <c r="AG346" s="1470"/>
      <c r="AH346" s="1470"/>
      <c r="AI346" s="1470"/>
      <c r="AJ346" s="1470"/>
      <c r="AK346" s="1470"/>
    </row>
    <row r="347" spans="2:66" ht="12.95" customHeight="1">
      <c r="B347" s="3" t="s">
        <v>87</v>
      </c>
      <c r="C347" s="3"/>
      <c r="D347" s="3"/>
      <c r="E347" s="3"/>
      <c r="F347" s="3"/>
      <c r="G347" s="3"/>
      <c r="H347" s="1470" t="s">
        <v>2704</v>
      </c>
      <c r="I347" s="1470"/>
      <c r="J347" s="1470"/>
      <c r="K347" s="1470"/>
      <c r="L347" s="1470"/>
      <c r="M347" s="1470"/>
      <c r="N347" s="1470"/>
      <c r="O347" s="1470"/>
      <c r="P347" s="1470"/>
      <c r="Q347" s="1470"/>
      <c r="R347" s="1470"/>
      <c r="T347" s="3" t="s">
        <v>87</v>
      </c>
      <c r="V347" s="3"/>
      <c r="W347" s="3"/>
      <c r="X347" s="3"/>
      <c r="Y347" s="3"/>
      <c r="AA347" s="1470" t="s">
        <v>2710</v>
      </c>
      <c r="AB347" s="1470"/>
      <c r="AC347" s="1470"/>
      <c r="AD347" s="1470"/>
      <c r="AE347" s="1470"/>
      <c r="AF347" s="1470"/>
      <c r="AG347" s="1470"/>
      <c r="AH347" s="1470"/>
      <c r="AI347" s="1470"/>
      <c r="AJ347" s="1470"/>
      <c r="AK347" s="1470"/>
    </row>
    <row r="348" spans="2:66" ht="12.95" customHeight="1">
      <c r="B348" s="3" t="s">
        <v>88</v>
      </c>
      <c r="C348" s="3"/>
      <c r="D348" s="3"/>
      <c r="E348" s="3"/>
      <c r="F348" s="3"/>
      <c r="G348" s="3"/>
      <c r="H348" s="1536" t="s">
        <v>2705</v>
      </c>
      <c r="I348" s="1536"/>
      <c r="J348" s="1536"/>
      <c r="K348" s="1536"/>
      <c r="L348" s="1536"/>
      <c r="M348" s="1536"/>
      <c r="N348" s="4" t="s">
        <v>206</v>
      </c>
      <c r="O348" s="4"/>
      <c r="P348" s="1505"/>
      <c r="Q348" s="1505"/>
      <c r="R348" s="1505"/>
      <c r="S348" s="3"/>
      <c r="T348" s="3" t="s">
        <v>88</v>
      </c>
      <c r="V348" s="3"/>
      <c r="W348" s="3"/>
      <c r="X348" s="3"/>
      <c r="Y348" s="3"/>
      <c r="AA348" s="1536">
        <v>9498734200</v>
      </c>
      <c r="AB348" s="1536"/>
      <c r="AC348" s="1536"/>
      <c r="AD348" s="1536"/>
      <c r="AE348" s="1536"/>
      <c r="AF348" s="1536"/>
      <c r="AG348" s="4" t="s">
        <v>206</v>
      </c>
      <c r="AH348" s="4"/>
      <c r="AI348" s="1505"/>
      <c r="AJ348" s="1505"/>
      <c r="AK348" s="1505"/>
    </row>
    <row r="349" spans="2:66" ht="12.95" customHeight="1">
      <c r="B349" s="3" t="s">
        <v>89</v>
      </c>
      <c r="C349" s="3"/>
      <c r="D349" s="3"/>
      <c r="E349" s="3"/>
      <c r="F349" s="3"/>
      <c r="G349" s="3"/>
      <c r="H349" s="1390"/>
      <c r="I349" s="1390"/>
      <c r="J349" s="1390"/>
      <c r="K349" s="1390"/>
      <c r="L349" s="1390"/>
      <c r="M349" s="1390"/>
      <c r="N349" s="4"/>
      <c r="O349" s="4"/>
      <c r="P349" s="35"/>
      <c r="Q349" s="35"/>
      <c r="R349" s="35"/>
      <c r="S349" s="3"/>
      <c r="T349" s="3" t="s">
        <v>89</v>
      </c>
      <c r="V349" s="3"/>
      <c r="W349" s="3"/>
      <c r="X349" s="3"/>
      <c r="Y349" s="3"/>
      <c r="AA349" s="1390"/>
      <c r="AB349" s="1390"/>
      <c r="AC349" s="1390"/>
      <c r="AD349" s="1390"/>
      <c r="AE349" s="1390"/>
      <c r="AF349" s="1390"/>
      <c r="AG349" s="4"/>
      <c r="AH349" s="4"/>
      <c r="AI349" s="35"/>
      <c r="AJ349" s="35"/>
      <c r="AK349" s="35"/>
    </row>
    <row r="350" spans="2:66" ht="12.95" customHeight="1">
      <c r="B350" s="3" t="s">
        <v>76</v>
      </c>
      <c r="C350" s="3"/>
      <c r="D350" s="3"/>
      <c r="E350" s="3"/>
      <c r="F350" s="3"/>
      <c r="G350" s="3"/>
      <c r="H350" s="1470" t="s">
        <v>2706</v>
      </c>
      <c r="I350" s="1470"/>
      <c r="J350" s="1470"/>
      <c r="K350" s="1470"/>
      <c r="L350" s="1470"/>
      <c r="M350" s="1470"/>
      <c r="N350" s="1418"/>
      <c r="O350" s="1418"/>
      <c r="P350" s="1418"/>
      <c r="Q350" s="1418"/>
      <c r="R350" s="1418"/>
      <c r="S350" s="3"/>
      <c r="T350" s="3" t="s">
        <v>76</v>
      </c>
      <c r="V350" s="3"/>
      <c r="W350" s="3"/>
      <c r="X350" s="3"/>
      <c r="Y350" s="3"/>
      <c r="AA350" s="1470" t="s">
        <v>2711</v>
      </c>
      <c r="AB350" s="1470"/>
      <c r="AC350" s="1470"/>
      <c r="AD350" s="1470"/>
      <c r="AE350" s="1470"/>
      <c r="AF350" s="1470"/>
      <c r="AG350" s="1418"/>
      <c r="AH350" s="1418"/>
      <c r="AI350" s="1418"/>
      <c r="AJ350" s="1418"/>
      <c r="AK350" s="1418"/>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99" t="s">
        <v>591</v>
      </c>
      <c r="Q352" s="1418"/>
      <c r="R352" s="1418"/>
      <c r="S352" s="1418"/>
      <c r="T352" s="1418"/>
      <c r="U352" s="1418"/>
      <c r="V352" s="1418"/>
      <c r="W352" s="1418"/>
      <c r="X352" s="1418"/>
      <c r="Y352" s="1418"/>
      <c r="Z352" s="1418"/>
      <c r="AA352" s="1418"/>
      <c r="AB352" s="1418"/>
      <c r="AC352" s="1418"/>
      <c r="AD352" s="1418"/>
      <c r="AE352" s="1418"/>
      <c r="BN352" t="s">
        <v>669</v>
      </c>
    </row>
    <row r="353" spans="1:66" ht="12.95" customHeight="1">
      <c r="B353" s="4"/>
      <c r="C353" s="4"/>
      <c r="D353" s="4"/>
      <c r="E353" s="4"/>
      <c r="F353" s="4"/>
      <c r="I353" s="4" t="s">
        <v>471</v>
      </c>
      <c r="P353" s="1470" t="s">
        <v>591</v>
      </c>
      <c r="Q353" s="1470"/>
      <c r="R353" s="1470"/>
      <c r="S353" s="1470"/>
      <c r="T353" s="1470"/>
      <c r="U353" s="1470"/>
      <c r="V353" s="1470"/>
      <c r="W353" s="1470"/>
      <c r="X353" s="1470"/>
      <c r="Y353" s="1470"/>
      <c r="Z353" s="1470"/>
      <c r="AA353" s="1470"/>
      <c r="AB353" s="1470"/>
      <c r="AC353" s="1470"/>
      <c r="AD353" s="1470"/>
      <c r="AE353" s="1470"/>
      <c r="BN353" t="s">
        <v>545</v>
      </c>
    </row>
    <row r="354" spans="1:66" ht="12.95" customHeight="1">
      <c r="B354" s="4"/>
      <c r="C354" s="4"/>
      <c r="D354" s="4"/>
      <c r="E354" s="4"/>
      <c r="F354" s="4"/>
      <c r="I354" s="4" t="s">
        <v>75</v>
      </c>
      <c r="P354" s="1470" t="s">
        <v>591</v>
      </c>
      <c r="Q354" s="1470"/>
      <c r="R354" s="1470"/>
      <c r="S354" s="1470"/>
      <c r="T354" s="1470"/>
      <c r="U354" s="1470"/>
      <c r="V354" s="1470"/>
      <c r="W354" s="1470"/>
      <c r="X354" s="1470"/>
      <c r="Y354" s="1470"/>
      <c r="Z354" s="1470"/>
      <c r="AA354" s="1470"/>
      <c r="AB354" s="1470"/>
      <c r="AC354" s="1470"/>
      <c r="AD354" s="1470"/>
      <c r="AE354" s="1470"/>
    </row>
    <row r="355" spans="1:66" ht="12.95" customHeight="1">
      <c r="B355" s="4"/>
      <c r="C355" s="4"/>
      <c r="D355" s="4"/>
      <c r="E355" s="4"/>
      <c r="F355" s="4"/>
      <c r="G355" s="4"/>
      <c r="I355" s="4" t="s">
        <v>87</v>
      </c>
      <c r="P355" s="1470" t="s">
        <v>591</v>
      </c>
      <c r="Q355" s="1470"/>
      <c r="R355" s="1470"/>
      <c r="S355" s="1470"/>
      <c r="T355" s="1470"/>
      <c r="U355" s="1470"/>
      <c r="V355" s="1470"/>
      <c r="W355" s="1470"/>
      <c r="X355" s="1470"/>
      <c r="Y355" s="1470"/>
      <c r="Z355" s="1470"/>
      <c r="AA355" s="1470"/>
      <c r="AB355" s="1470"/>
      <c r="AC355" s="1470"/>
      <c r="AD355" s="1470"/>
      <c r="AE355" s="1470"/>
    </row>
    <row r="356" spans="1:66" ht="12.95" customHeight="1">
      <c r="B356" s="4"/>
      <c r="C356" s="4"/>
      <c r="D356" s="4"/>
      <c r="E356" s="4"/>
      <c r="F356" s="4"/>
      <c r="G356" s="4"/>
      <c r="H356" s="302"/>
      <c r="I356" s="4" t="s">
        <v>88</v>
      </c>
      <c r="P356" s="1517" t="s">
        <v>591</v>
      </c>
      <c r="Q356" s="1390"/>
      <c r="R356" s="1390"/>
      <c r="S356" s="1390"/>
      <c r="T356" s="1390"/>
      <c r="U356" s="1390"/>
      <c r="V356" s="1390"/>
      <c r="W356" s="1390"/>
      <c r="X356" s="1390"/>
      <c r="Y356" s="1390"/>
      <c r="Z356" s="1390"/>
      <c r="AA356" s="4" t="s">
        <v>206</v>
      </c>
      <c r="AB356" s="4"/>
      <c r="AC356" s="1437"/>
      <c r="AD356" s="1437"/>
      <c r="AE356" s="1437"/>
      <c r="AF356" s="302"/>
      <c r="AG356" s="4"/>
      <c r="AH356" s="4"/>
      <c r="AI356" s="4"/>
      <c r="AJ356" s="4"/>
      <c r="AK356" s="4"/>
    </row>
    <row r="357" spans="1:66" ht="12.95" customHeight="1">
      <c r="B357" s="4"/>
      <c r="C357" s="4"/>
      <c r="D357" s="4"/>
      <c r="E357" s="4"/>
      <c r="F357" s="4"/>
      <c r="G357" s="4"/>
      <c r="H357" s="302"/>
      <c r="I357" s="4" t="s">
        <v>89</v>
      </c>
      <c r="P357" s="1517" t="s">
        <v>591</v>
      </c>
      <c r="Q357" s="1390"/>
      <c r="R357" s="1390"/>
      <c r="S357" s="1390"/>
      <c r="T357" s="1390"/>
      <c r="U357" s="1390"/>
      <c r="V357" s="1390"/>
      <c r="W357" s="1390"/>
      <c r="X357" s="1390"/>
      <c r="Y357" s="1390"/>
      <c r="Z357" s="1390"/>
      <c r="AF357" s="302"/>
      <c r="AG357" s="4"/>
      <c r="AH357" s="4"/>
      <c r="AI357" s="35"/>
      <c r="AJ357" s="35"/>
      <c r="AK357" s="35"/>
    </row>
    <row r="358" spans="1:66" ht="12.95" customHeight="1">
      <c r="B358" s="4"/>
      <c r="C358" s="4"/>
      <c r="D358" s="4"/>
      <c r="E358" s="4"/>
      <c r="F358" s="4"/>
      <c r="G358" s="4"/>
      <c r="I358" s="4" t="s">
        <v>76</v>
      </c>
      <c r="P358" s="1418" t="s">
        <v>591</v>
      </c>
      <c r="Q358" s="1418"/>
      <c r="R358" s="1418"/>
      <c r="S358" s="1418"/>
      <c r="T358" s="1418"/>
      <c r="U358" s="1418"/>
      <c r="V358" s="1418"/>
      <c r="W358" s="1418"/>
      <c r="X358" s="1418"/>
      <c r="Y358" s="1418"/>
      <c r="Z358" s="1418"/>
      <c r="AA358" s="1418"/>
      <c r="AB358" s="1418"/>
      <c r="AC358" s="1418"/>
      <c r="AD358" s="1418"/>
      <c r="AE358" s="1418"/>
    </row>
    <row r="359" spans="1:66" ht="12.95" customHeight="1">
      <c r="T359" s="8"/>
      <c r="U359" s="8"/>
      <c r="V359" s="8"/>
      <c r="W359" s="8"/>
      <c r="X359" s="8"/>
      <c r="Y359" s="8"/>
      <c r="Z359" s="8"/>
      <c r="AU359" s="95"/>
      <c r="AV359" s="95"/>
      <c r="AW359" s="95"/>
      <c r="AX359" s="95"/>
      <c r="AY359" s="95"/>
    </row>
    <row r="360" spans="1:66" ht="12.95" customHeight="1">
      <c r="A360" s="1526" t="s">
        <v>542</v>
      </c>
      <c r="B360" s="1526"/>
      <c r="C360" s="1526"/>
      <c r="D360" s="1526"/>
      <c r="E360" s="1526"/>
      <c r="F360" s="1526"/>
      <c r="G360" s="1526"/>
      <c r="H360" s="1526"/>
      <c r="I360" s="1526"/>
      <c r="J360" s="1526"/>
      <c r="K360" s="1526"/>
      <c r="L360" s="1526"/>
      <c r="M360" s="1526"/>
      <c r="N360" s="1526"/>
      <c r="O360" s="1526"/>
      <c r="P360" s="1526"/>
      <c r="Q360" s="1526"/>
      <c r="R360" s="1526"/>
      <c r="S360" s="1526"/>
      <c r="T360" s="1526"/>
      <c r="U360" s="1526"/>
      <c r="V360" s="1526"/>
      <c r="W360" s="1526"/>
      <c r="X360" s="1526"/>
      <c r="Y360" s="1526"/>
      <c r="Z360" s="1526"/>
      <c r="AA360" s="1526"/>
      <c r="AB360" s="1526"/>
      <c r="AC360" s="1526"/>
      <c r="AD360" s="1526"/>
      <c r="AE360" s="1526"/>
      <c r="AF360" s="1526"/>
      <c r="AG360" s="1526"/>
      <c r="AH360" s="1526"/>
      <c r="AI360" s="1526"/>
      <c r="AJ360" s="1526"/>
      <c r="AK360" s="1526"/>
      <c r="AL360" s="1526"/>
      <c r="AM360" s="1526"/>
      <c r="AN360" s="1526"/>
      <c r="AO360" s="1526"/>
      <c r="AP360" s="1526"/>
      <c r="AQ360" s="1526"/>
      <c r="AR360" s="1526"/>
      <c r="AS360" s="1526"/>
      <c r="AT360" s="1526"/>
      <c r="AU360" s="95"/>
      <c r="AV360" s="95"/>
      <c r="AW360" s="95"/>
      <c r="AX360" s="95"/>
      <c r="AY360" s="95"/>
    </row>
    <row r="361" spans="1:66" ht="12.95" customHeight="1">
      <c r="A361" s="1526"/>
      <c r="B361" s="1526"/>
      <c r="C361" s="1526"/>
      <c r="D361" s="1526"/>
      <c r="E361" s="1526"/>
      <c r="F361" s="1526"/>
      <c r="G361" s="1526"/>
      <c r="H361" s="1526"/>
      <c r="I361" s="1526"/>
      <c r="J361" s="1526"/>
      <c r="K361" s="1526"/>
      <c r="L361" s="1526"/>
      <c r="M361" s="1526"/>
      <c r="N361" s="1526"/>
      <c r="O361" s="1526"/>
      <c r="P361" s="1526"/>
      <c r="Q361" s="1526"/>
      <c r="R361" s="1526"/>
      <c r="S361" s="1526"/>
      <c r="T361" s="1526"/>
      <c r="U361" s="1526"/>
      <c r="V361" s="1526"/>
      <c r="W361" s="1526"/>
      <c r="X361" s="1526"/>
      <c r="Y361" s="1526"/>
      <c r="Z361" s="1526"/>
      <c r="AA361" s="1526"/>
      <c r="AB361" s="1526"/>
      <c r="AC361" s="1526"/>
      <c r="AD361" s="1526"/>
      <c r="AE361" s="1526"/>
      <c r="AF361" s="1526"/>
      <c r="AG361" s="1526"/>
      <c r="AH361" s="1526"/>
      <c r="AI361" s="1526"/>
      <c r="AJ361" s="1526"/>
      <c r="AK361" s="1526"/>
      <c r="AL361" s="1526"/>
      <c r="AM361" s="1526"/>
      <c r="AN361" s="1526"/>
      <c r="AO361" s="1526"/>
      <c r="AP361" s="1526"/>
      <c r="AQ361" s="1526"/>
      <c r="AR361" s="1526"/>
      <c r="AS361" s="1526"/>
      <c r="AT361" s="1526"/>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2054</v>
      </c>
      <c r="M364" s="1426" t="s">
        <v>545</v>
      </c>
      <c r="N364" s="1426"/>
      <c r="P364" t="s">
        <v>1638</v>
      </c>
      <c r="AJ364" s="1426" t="s">
        <v>591</v>
      </c>
      <c r="AK364" s="1426"/>
    </row>
    <row r="365" spans="1:66" ht="12.95" customHeight="1">
      <c r="D365" s="3" t="s">
        <v>1627</v>
      </c>
      <c r="M365" s="1426" t="s">
        <v>591</v>
      </c>
      <c r="N365" s="1426"/>
      <c r="P365" s="3" t="s">
        <v>1707</v>
      </c>
      <c r="AJ365" s="1478"/>
      <c r="AK365" s="1478"/>
    </row>
    <row r="366" spans="1:66" ht="12.95" customHeight="1">
      <c r="D366" s="3" t="s">
        <v>704</v>
      </c>
      <c r="M366" s="1426" t="s">
        <v>591</v>
      </c>
      <c r="N366" s="1426"/>
      <c r="P366" t="s">
        <v>1637</v>
      </c>
      <c r="AJ366" s="1426" t="s">
        <v>591</v>
      </c>
      <c r="AK366" s="1426"/>
    </row>
    <row r="367" spans="1:66" ht="12.95" customHeight="1">
      <c r="D367" s="3" t="s">
        <v>705</v>
      </c>
      <c r="M367" s="1426" t="s">
        <v>591</v>
      </c>
      <c r="N367" s="1426"/>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426" t="s">
        <v>591</v>
      </c>
      <c r="O372" s="1426"/>
      <c r="P372" s="40"/>
      <c r="Q372" s="40"/>
      <c r="R372" s="40"/>
      <c r="S372" s="40"/>
      <c r="T372" s="40"/>
      <c r="U372" s="40"/>
      <c r="V372" s="40"/>
      <c r="W372" s="40"/>
      <c r="X372" s="40"/>
      <c r="Y372" s="40"/>
      <c r="Z372" s="40"/>
      <c r="AC372" s="40"/>
      <c r="AD372" s="40"/>
      <c r="AE372" s="40"/>
    </row>
    <row r="373" spans="1:34" ht="12.95" customHeight="1">
      <c r="E373" t="s">
        <v>370</v>
      </c>
      <c r="Y373" s="1426" t="s">
        <v>591</v>
      </c>
      <c r="Z373" s="1426"/>
    </row>
    <row r="374" spans="1:34" ht="12.95" customHeight="1">
      <c r="D374" s="4" t="s">
        <v>977</v>
      </c>
      <c r="Q374" s="1418" t="s">
        <v>591</v>
      </c>
      <c r="R374" s="1418"/>
      <c r="S374" s="1418"/>
      <c r="T374" s="1418"/>
      <c r="U374" s="1418"/>
      <c r="V374" s="1418"/>
      <c r="W374" s="1418"/>
      <c r="X374" s="1418"/>
      <c r="Y374" s="1418"/>
      <c r="Z374" s="1418"/>
      <c r="AA374" s="1418"/>
      <c r="AB374" s="1418"/>
      <c r="AC374" s="1418"/>
      <c r="AD374" s="1418"/>
      <c r="AE374" s="1418"/>
      <c r="AF374" s="1418"/>
      <c r="AG374" s="1418"/>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426" t="s">
        <v>591</v>
      </c>
      <c r="K376" s="1426"/>
      <c r="L376" s="40"/>
      <c r="M376" s="40"/>
      <c r="N376" s="40"/>
      <c r="O376" s="40"/>
      <c r="P376" s="40"/>
      <c r="Q376" s="40"/>
      <c r="R376" s="40"/>
      <c r="S376" s="40"/>
      <c r="T376" s="40"/>
      <c r="U376" s="40"/>
      <c r="V376" s="40"/>
      <c r="W376" s="40"/>
      <c r="X376" s="40"/>
      <c r="Y376" s="40"/>
      <c r="Z376" s="40"/>
      <c r="AC376" s="40"/>
      <c r="AD376" s="40"/>
      <c r="AE376" s="40"/>
    </row>
    <row r="377" spans="1:34" ht="12.95" customHeight="1">
      <c r="E377" s="1506" t="s">
        <v>706</v>
      </c>
      <c r="F377" s="1506"/>
      <c r="G377" s="1506"/>
      <c r="H377" s="1506"/>
      <c r="I377" s="1506"/>
      <c r="J377" s="1506"/>
      <c r="K377" s="1506"/>
      <c r="L377" s="1506"/>
      <c r="M377" s="1506"/>
      <c r="N377" s="1506"/>
      <c r="O377" s="1506"/>
      <c r="P377" s="1506"/>
      <c r="Q377" s="1506"/>
      <c r="R377" s="1506"/>
      <c r="S377" s="1506"/>
      <c r="T377" s="1506"/>
      <c r="U377" s="1506"/>
      <c r="V377" s="1506"/>
      <c r="W377" s="1506"/>
      <c r="X377" s="1506"/>
      <c r="Y377" s="1506"/>
      <c r="Z377" s="1506"/>
      <c r="AA377" s="1506"/>
      <c r="AB377" s="1506"/>
      <c r="AC377" s="1506"/>
      <c r="AD377" s="1506"/>
      <c r="AE377" s="1506"/>
      <c r="AF377" s="1506"/>
      <c r="AG377" s="1506"/>
      <c r="AH377" s="1506"/>
    </row>
    <row r="378" spans="1:34" ht="12.95" customHeight="1">
      <c r="E378" s="1506"/>
      <c r="F378" s="1506"/>
      <c r="G378" s="1506"/>
      <c r="H378" s="1506"/>
      <c r="I378" s="1506"/>
      <c r="J378" s="1506"/>
      <c r="K378" s="1506"/>
      <c r="L378" s="1506"/>
      <c r="M378" s="1506"/>
      <c r="N378" s="1506"/>
      <c r="O378" s="1506"/>
      <c r="P378" s="1506"/>
      <c r="Q378" s="1506"/>
      <c r="R378" s="1506"/>
      <c r="S378" s="1506"/>
      <c r="T378" s="1506"/>
      <c r="U378" s="1506"/>
      <c r="V378" s="1506"/>
      <c r="W378" s="1506"/>
      <c r="X378" s="1506"/>
      <c r="Y378" s="1506"/>
      <c r="Z378" s="1506"/>
      <c r="AA378" s="1506"/>
      <c r="AB378" s="1506"/>
      <c r="AC378" s="1506"/>
      <c r="AD378" s="1506"/>
      <c r="AE378" s="1506"/>
      <c r="AF378" s="1506"/>
      <c r="AG378" s="1506"/>
      <c r="AH378" s="1506"/>
    </row>
    <row r="379" spans="1:34" ht="12.95" customHeight="1">
      <c r="E379" s="4" t="s">
        <v>448</v>
      </c>
      <c r="F379" s="4"/>
      <c r="G379" s="4"/>
      <c r="H379" s="4"/>
      <c r="I379" s="4"/>
      <c r="J379" s="4"/>
      <c r="K379" s="4"/>
      <c r="L379" s="4"/>
      <c r="N379" s="1569" t="s">
        <v>591</v>
      </c>
      <c r="O379" s="1374"/>
      <c r="P379" s="1374"/>
      <c r="Q379" s="1374"/>
      <c r="R379" s="4"/>
      <c r="U379" s="4" t="s">
        <v>449</v>
      </c>
      <c r="V379" s="4"/>
      <c r="W379" s="4"/>
      <c r="X379" s="4"/>
      <c r="Y379" s="4"/>
      <c r="Z379" s="4"/>
      <c r="AA379" s="4"/>
      <c r="AB379" s="4"/>
      <c r="AC379" s="1374" t="s">
        <v>591</v>
      </c>
      <c r="AD379" s="1374"/>
      <c r="AE379" s="1374"/>
      <c r="AF379" s="1374"/>
    </row>
    <row r="380" spans="1:34" ht="12.95" customHeight="1">
      <c r="E380" s="4" t="s">
        <v>450</v>
      </c>
      <c r="F380" s="4"/>
      <c r="G380" s="4"/>
      <c r="H380" s="4"/>
      <c r="I380" s="4"/>
      <c r="J380" s="4"/>
      <c r="K380" s="4"/>
      <c r="L380" s="4"/>
      <c r="N380" s="1374" t="s">
        <v>591</v>
      </c>
      <c r="O380" s="1374"/>
      <c r="P380" s="1374"/>
      <c r="Q380" s="1374"/>
      <c r="R380" s="4"/>
      <c r="U380" s="4" t="s">
        <v>0</v>
      </c>
      <c r="V380" s="4"/>
      <c r="W380" s="4"/>
      <c r="X380" s="4"/>
      <c r="Y380" s="4"/>
      <c r="Z380" s="4"/>
      <c r="AA380" s="4"/>
      <c r="AB380" s="4"/>
      <c r="AC380" s="1374" t="s">
        <v>591</v>
      </c>
      <c r="AD380" s="1374"/>
      <c r="AE380" s="1374"/>
      <c r="AF380" s="1374"/>
    </row>
    <row r="381" spans="1:34" ht="12.95" customHeight="1">
      <c r="E381" s="4" t="s">
        <v>1</v>
      </c>
      <c r="F381" s="4"/>
      <c r="G381" s="4"/>
      <c r="H381" s="4"/>
      <c r="I381" s="4"/>
      <c r="J381" s="4"/>
      <c r="K381" s="4"/>
      <c r="L381" s="4"/>
      <c r="N381" s="1374" t="s">
        <v>591</v>
      </c>
      <c r="O381" s="1374"/>
      <c r="P381" s="1374"/>
      <c r="Q381" s="1374"/>
      <c r="R381" s="4"/>
      <c r="V381" s="4"/>
      <c r="W381" s="4"/>
      <c r="X381" s="4"/>
      <c r="Y381" s="4"/>
      <c r="Z381" s="4"/>
      <c r="AA381" s="4"/>
      <c r="AB381" s="4"/>
    </row>
    <row r="382" spans="1:34" ht="12.95" customHeight="1">
      <c r="E382" s="4" t="s">
        <v>2</v>
      </c>
      <c r="F382" s="4"/>
      <c r="G382" s="4"/>
      <c r="H382" s="4"/>
      <c r="I382" s="4"/>
      <c r="J382" s="4"/>
      <c r="K382" s="4"/>
      <c r="L382" s="4"/>
      <c r="N382" s="1518" t="s">
        <v>591</v>
      </c>
      <c r="O382" s="1518"/>
      <c r="P382" s="1518"/>
      <c r="Q382" s="1518"/>
      <c r="R382" s="1518"/>
      <c r="S382" s="1518"/>
      <c r="T382" s="1518"/>
      <c r="U382" s="1518"/>
      <c r="V382" s="1518"/>
      <c r="W382" s="1518"/>
      <c r="X382" s="1518"/>
      <c r="Y382" s="1518"/>
      <c r="Z382" s="1518"/>
      <c r="AA382" s="1518"/>
      <c r="AB382" s="1518"/>
      <c r="AC382" s="1518"/>
      <c r="AD382" s="1518"/>
      <c r="AE382" s="1518"/>
      <c r="AF382" s="1518"/>
    </row>
    <row r="383" spans="1:34" ht="12.95" customHeight="1">
      <c r="E383" s="4"/>
      <c r="F383" s="4"/>
      <c r="G383" s="4"/>
      <c r="H383" s="4"/>
      <c r="I383" s="4"/>
      <c r="J383" s="4"/>
      <c r="K383" s="4"/>
      <c r="L383" s="4"/>
      <c r="N383" s="1519"/>
      <c r="O383" s="1519"/>
      <c r="P383" s="1519"/>
      <c r="Q383" s="1519"/>
      <c r="R383" s="1519"/>
      <c r="S383" s="1519"/>
      <c r="T383" s="1519"/>
      <c r="U383" s="1519"/>
      <c r="V383" s="1519"/>
      <c r="W383" s="1519"/>
      <c r="X383" s="1519"/>
      <c r="Y383" s="1519"/>
      <c r="Z383" s="1519"/>
      <c r="AA383" s="1519"/>
      <c r="AB383" s="1519"/>
      <c r="AC383" s="1519"/>
      <c r="AD383" s="1519"/>
      <c r="AE383" s="1519"/>
      <c r="AF383" s="1519"/>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2040</v>
      </c>
      <c r="F386" s="4"/>
      <c r="G386" s="4"/>
      <c r="H386" s="4"/>
      <c r="I386" s="4"/>
      <c r="J386" s="4"/>
      <c r="K386" s="4"/>
      <c r="L386" s="4"/>
      <c r="N386" t="s">
        <v>2036</v>
      </c>
      <c r="R386" s="27" t="s">
        <v>305</v>
      </c>
      <c r="S386" s="1507"/>
      <c r="T386" s="1507"/>
      <c r="U386" s="1" t="s">
        <v>306</v>
      </c>
      <c r="V386" s="1507"/>
      <c r="W386" s="1507"/>
      <c r="Y386" t="s">
        <v>2036</v>
      </c>
      <c r="AC386" s="27" t="s">
        <v>305</v>
      </c>
      <c r="AD386" s="1507"/>
      <c r="AE386" s="1507"/>
      <c r="AF386" s="1" t="s">
        <v>306</v>
      </c>
      <c r="AG386" s="1507"/>
      <c r="AH386" s="1507"/>
    </row>
    <row r="387" spans="1:36" ht="12.95" customHeight="1">
      <c r="E387" s="4" t="s">
        <v>986</v>
      </c>
      <c r="F387" s="4"/>
      <c r="G387" s="4"/>
      <c r="H387" s="4"/>
      <c r="I387" s="4"/>
      <c r="J387" s="4"/>
      <c r="K387" s="4"/>
      <c r="L387" s="4"/>
      <c r="N387" s="1508" t="s">
        <v>591</v>
      </c>
      <c r="O387" s="1507"/>
      <c r="P387" s="1507"/>
    </row>
    <row r="388" spans="1:36" ht="12.95" customHeight="1">
      <c r="E388" s="204" t="s">
        <v>2041</v>
      </c>
      <c r="F388" s="4"/>
      <c r="G388" s="4"/>
      <c r="H388" s="4"/>
      <c r="I388" s="4"/>
      <c r="J388" s="4"/>
      <c r="K388" s="4"/>
      <c r="L388" s="4"/>
      <c r="AG388" s="1451" t="s">
        <v>591</v>
      </c>
      <c r="AH388" s="1451"/>
    </row>
    <row r="389" spans="1:36" ht="12.95" customHeight="1">
      <c r="E389" s="4"/>
      <c r="F389" s="4"/>
      <c r="G389" s="4" t="s">
        <v>2042</v>
      </c>
      <c r="H389" s="4"/>
      <c r="I389" s="4"/>
      <c r="J389" s="4"/>
      <c r="K389" s="4"/>
      <c r="L389" s="4"/>
      <c r="AG389" s="1451" t="s">
        <v>591</v>
      </c>
      <c r="AH389" s="1451"/>
    </row>
    <row r="390" spans="1:36" ht="12.95" customHeight="1">
      <c r="E390" s="4"/>
      <c r="F390" s="4"/>
      <c r="G390" s="320" t="s">
        <v>987</v>
      </c>
      <c r="H390" s="4"/>
      <c r="I390" s="4"/>
      <c r="J390" s="4"/>
      <c r="K390" s="4"/>
      <c r="L390" s="4"/>
      <c r="V390" s="1426" t="s">
        <v>591</v>
      </c>
      <c r="W390" s="1426"/>
      <c r="Y390" s="22" t="s">
        <v>979</v>
      </c>
    </row>
    <row r="391" spans="1:36" ht="12.95" customHeight="1">
      <c r="E391" s="4" t="s">
        <v>980</v>
      </c>
      <c r="F391" s="4"/>
      <c r="G391" s="4"/>
      <c r="H391" s="4"/>
      <c r="I391" s="4"/>
      <c r="J391" s="4"/>
      <c r="K391" s="4"/>
      <c r="L391" s="4"/>
      <c r="V391" s="1426" t="s">
        <v>591</v>
      </c>
      <c r="W391" s="1426"/>
      <c r="Y391" s="4" t="s">
        <v>981</v>
      </c>
    </row>
    <row r="392" spans="1:36" ht="12.95" customHeight="1"/>
    <row r="393" spans="1:36" ht="12.95" customHeight="1">
      <c r="A393" s="2" t="s">
        <v>78</v>
      </c>
      <c r="B393" s="2"/>
    </row>
    <row r="394" spans="1:36" ht="12.95" customHeight="1">
      <c r="D394" t="s">
        <v>428</v>
      </c>
      <c r="J394" s="1499" t="s">
        <v>591</v>
      </c>
      <c r="K394" s="1418"/>
      <c r="L394" s="1418"/>
      <c r="M394" s="1418"/>
      <c r="N394" s="1418"/>
      <c r="O394" s="1418"/>
      <c r="P394" s="1418"/>
      <c r="Q394" s="1418"/>
      <c r="R394" s="1418"/>
      <c r="S394" s="1418"/>
      <c r="T394" s="1418"/>
      <c r="U394" s="1418"/>
      <c r="V394" s="8" t="s">
        <v>83</v>
      </c>
      <c r="W394" s="8"/>
      <c r="X394" s="8"/>
      <c r="Y394" s="8"/>
      <c r="Z394" s="8"/>
      <c r="AA394" s="8"/>
      <c r="AB394" s="8"/>
      <c r="AC394" s="1499" t="s">
        <v>591</v>
      </c>
      <c r="AD394" s="1418"/>
      <c r="AE394" s="1418"/>
      <c r="AF394" s="1418"/>
      <c r="AG394" s="1418"/>
      <c r="AH394" s="1418"/>
      <c r="AI394" s="1418"/>
      <c r="AJ394" s="1418"/>
    </row>
    <row r="395" spans="1:36" ht="12.95" customHeight="1">
      <c r="D395" s="3" t="s">
        <v>1181</v>
      </c>
      <c r="J395" s="1470" t="s">
        <v>591</v>
      </c>
      <c r="K395" s="1470"/>
      <c r="L395" s="1470"/>
      <c r="M395" s="1470"/>
      <c r="N395" s="1470"/>
      <c r="O395" s="1470"/>
      <c r="P395" s="1470"/>
      <c r="Q395" s="1470"/>
      <c r="R395" s="1470"/>
      <c r="S395" s="1470"/>
      <c r="T395" s="1470"/>
      <c r="U395" s="1470"/>
      <c r="V395" s="3" t="s">
        <v>1181</v>
      </c>
      <c r="W395" s="8"/>
      <c r="X395" s="8"/>
      <c r="Y395" s="8"/>
      <c r="Z395" s="8"/>
      <c r="AA395" s="8"/>
      <c r="AB395" s="8"/>
      <c r="AC395" s="1418" t="s">
        <v>591</v>
      </c>
      <c r="AD395" s="1418"/>
      <c r="AE395" s="1418"/>
      <c r="AF395" s="1418"/>
      <c r="AG395" s="1418"/>
      <c r="AH395" s="1418"/>
      <c r="AI395" s="1418"/>
      <c r="AJ395" s="1418"/>
    </row>
    <row r="396" spans="1:36" ht="12.95" customHeight="1">
      <c r="D396" s="3" t="s">
        <v>441</v>
      </c>
      <c r="J396" s="1470" t="s">
        <v>591</v>
      </c>
      <c r="K396" s="1470"/>
      <c r="L396" s="1470"/>
      <c r="M396" s="1470"/>
      <c r="N396" s="1470"/>
      <c r="O396" s="1470"/>
      <c r="P396" s="1470"/>
      <c r="Q396" s="1470"/>
      <c r="R396" s="1470"/>
      <c r="S396" s="1470"/>
      <c r="T396" s="1470"/>
      <c r="U396" s="1470"/>
      <c r="V396" s="3" t="s">
        <v>441</v>
      </c>
      <c r="W396" s="8"/>
      <c r="X396" s="8"/>
      <c r="Y396" s="8"/>
      <c r="Z396" s="8"/>
      <c r="AA396" s="8"/>
      <c r="AB396" s="8"/>
      <c r="AC396" s="1418" t="s">
        <v>591</v>
      </c>
      <c r="AD396" s="1418"/>
      <c r="AE396" s="1418"/>
      <c r="AF396" s="1418"/>
      <c r="AG396" s="1418"/>
      <c r="AH396" s="1418"/>
      <c r="AI396" s="1418"/>
      <c r="AJ396" s="1418"/>
    </row>
    <row r="397" spans="1:36" ht="12.95" customHeight="1">
      <c r="D397" t="s">
        <v>1177</v>
      </c>
      <c r="J397" s="1396" t="s">
        <v>591</v>
      </c>
      <c r="K397" s="1396"/>
      <c r="L397" s="1396"/>
      <c r="M397" s="1396"/>
      <c r="N397" s="1396"/>
      <c r="O397" s="1396"/>
      <c r="P397" s="1396"/>
      <c r="Q397" s="1396"/>
      <c r="R397" s="1396"/>
      <c r="S397" s="1396"/>
      <c r="T397" s="1396"/>
      <c r="U397" s="1396"/>
      <c r="V397" s="1499" t="s">
        <v>591</v>
      </c>
      <c r="W397" s="1418"/>
      <c r="X397" s="1418"/>
      <c r="Y397" s="1418"/>
      <c r="Z397" s="1418"/>
      <c r="AA397" s="1418"/>
      <c r="AB397" s="1418"/>
      <c r="AC397" s="1418"/>
      <c r="AD397" s="1418"/>
      <c r="AE397" s="1418"/>
      <c r="AF397" s="1418"/>
      <c r="AG397" s="1418"/>
      <c r="AH397" s="1418"/>
      <c r="AI397" s="1418"/>
      <c r="AJ397" s="1418"/>
    </row>
    <row r="398" spans="1:36" ht="12.95" customHeight="1">
      <c r="D398" t="s">
        <v>4</v>
      </c>
      <c r="Q398" s="1514" t="s">
        <v>591</v>
      </c>
      <c r="R398" s="1515"/>
      <c r="S398" s="1515"/>
      <c r="T398" s="1515"/>
      <c r="U398" s="1515"/>
      <c r="V398" t="s">
        <v>309</v>
      </c>
      <c r="AI398" s="1426"/>
      <c r="AJ398" s="1426"/>
    </row>
    <row r="399" spans="1:36" ht="12.95" customHeight="1">
      <c r="D399" t="s">
        <v>5</v>
      </c>
      <c r="Q399" s="1497" t="s">
        <v>591</v>
      </c>
      <c r="R399" s="1498"/>
      <c r="S399" s="1498"/>
      <c r="T399" s="1498"/>
      <c r="U399" s="1498"/>
      <c r="W399" s="21" t="s">
        <v>74</v>
      </c>
      <c r="AG399" s="1453" t="s">
        <v>591</v>
      </c>
      <c r="AH399" s="1454"/>
      <c r="AI399" s="1454"/>
      <c r="AJ399" s="1454"/>
    </row>
    <row r="400" spans="1:36" ht="12.95" customHeight="1">
      <c r="D400" t="s">
        <v>427</v>
      </c>
      <c r="Q400" s="1455" t="s">
        <v>591</v>
      </c>
      <c r="R400" s="1455"/>
      <c r="S400" s="1455"/>
      <c r="T400" s="1455"/>
      <c r="U400" s="1455"/>
      <c r="V400" s="3" t="s">
        <v>1180</v>
      </c>
      <c r="AG400" s="1580" t="s">
        <v>591</v>
      </c>
      <c r="AH400" s="1580"/>
      <c r="AI400" s="1580"/>
      <c r="AJ400" s="1580"/>
    </row>
    <row r="401" spans="4:36" ht="12.95" customHeight="1">
      <c r="D401" t="s">
        <v>88</v>
      </c>
      <c r="I401" s="1564" t="s">
        <v>591</v>
      </c>
      <c r="J401" s="1536"/>
      <c r="K401" s="1536"/>
      <c r="L401" s="1536"/>
      <c r="M401" s="1536"/>
      <c r="N401" s="1536"/>
      <c r="Q401" s="4" t="s">
        <v>206</v>
      </c>
      <c r="S401" s="1452"/>
      <c r="T401" s="1452"/>
      <c r="U401" s="1452"/>
      <c r="V401" t="s">
        <v>73</v>
      </c>
      <c r="AI401" s="1426" t="s">
        <v>669</v>
      </c>
      <c r="AJ401" s="1426"/>
    </row>
    <row r="402" spans="4:36" ht="12.95" customHeight="1">
      <c r="D402" t="s">
        <v>310</v>
      </c>
      <c r="Q402" s="1516" t="s">
        <v>591</v>
      </c>
      <c r="R402" s="1516"/>
      <c r="S402" s="1516"/>
      <c r="T402" s="1516"/>
      <c r="U402" s="1516"/>
      <c r="V402" t="s">
        <v>311</v>
      </c>
      <c r="AG402" s="1454" t="s">
        <v>591</v>
      </c>
      <c r="AH402" s="1454"/>
      <c r="AI402" s="1454"/>
      <c r="AJ402" s="1454"/>
    </row>
    <row r="403" spans="4:36" ht="12.95" customHeight="1">
      <c r="D403" t="s">
        <v>312</v>
      </c>
      <c r="Q403" s="1570" t="s">
        <v>591</v>
      </c>
      <c r="R403" s="1570"/>
      <c r="S403" s="1570"/>
      <c r="T403" s="1570"/>
      <c r="U403" s="1570"/>
      <c r="V403" t="s">
        <v>1162</v>
      </c>
      <c r="AG403" s="1454" t="s">
        <v>591</v>
      </c>
      <c r="AH403" s="1454"/>
      <c r="AI403" s="1454"/>
      <c r="AJ403" s="1454"/>
    </row>
    <row r="404" spans="4:36" ht="12.95" customHeight="1">
      <c r="D404" t="s">
        <v>1161</v>
      </c>
      <c r="AG404" s="1454" t="s">
        <v>591</v>
      </c>
      <c r="AH404" s="1454"/>
      <c r="AI404" s="1454"/>
      <c r="AJ404" s="1454"/>
    </row>
    <row r="405" spans="4:36" ht="12.95" customHeight="1">
      <c r="AG405" s="456"/>
      <c r="AH405" s="456"/>
      <c r="AI405" s="456"/>
      <c r="AJ405" s="456"/>
    </row>
    <row r="406" spans="4:36" ht="12.95" customHeight="1">
      <c r="D406" s="3" t="s">
        <v>2098</v>
      </c>
      <c r="AG406" s="456"/>
      <c r="AH406" s="456"/>
      <c r="AI406" s="1426" t="s">
        <v>669</v>
      </c>
      <c r="AJ406" s="1426"/>
    </row>
    <row r="407" spans="4:36" ht="12.95" customHeight="1">
      <c r="D407" s="3" t="s">
        <v>1655</v>
      </c>
      <c r="T407" s="1447" t="s">
        <v>591</v>
      </c>
      <c r="U407" s="1448"/>
      <c r="V407" s="1448"/>
      <c r="W407" s="1448"/>
      <c r="X407" s="1448"/>
      <c r="Y407" s="1448"/>
      <c r="Z407" s="1448"/>
      <c r="AA407" s="1448"/>
      <c r="AB407" s="1448"/>
      <c r="AC407" s="1448"/>
      <c r="AD407" s="1448"/>
      <c r="AE407" s="1448"/>
      <c r="AF407" s="1448"/>
      <c r="AG407" s="1448"/>
      <c r="AH407" s="1448"/>
      <c r="AI407" s="1448"/>
      <c r="AJ407" s="1448"/>
    </row>
    <row r="408" spans="4:36" ht="12.95" customHeight="1">
      <c r="D408" s="3" t="s">
        <v>1654</v>
      </c>
      <c r="T408" s="1447" t="s">
        <v>591</v>
      </c>
      <c r="U408" s="1448"/>
      <c r="V408" s="1448"/>
      <c r="W408" s="1448"/>
      <c r="X408" s="1448"/>
      <c r="Y408" s="1448"/>
      <c r="Z408" s="1448"/>
      <c r="AA408" s="1448"/>
      <c r="AB408" s="1448"/>
      <c r="AC408" s="1448"/>
      <c r="AD408" s="1448"/>
      <c r="AE408" s="1448"/>
      <c r="AF408" s="1448"/>
      <c r="AG408" s="1448"/>
      <c r="AH408" s="1448"/>
      <c r="AI408" s="1448"/>
      <c r="AJ408" s="1448"/>
    </row>
    <row r="409" spans="4:36" ht="12.95" customHeight="1">
      <c r="AG409" s="456"/>
      <c r="AH409" s="456"/>
      <c r="AI409" s="456"/>
      <c r="AJ409" s="456"/>
    </row>
    <row r="410" spans="4:36" ht="12.95" customHeight="1">
      <c r="D410" s="3" t="s">
        <v>1648</v>
      </c>
      <c r="S410" s="1448" t="s">
        <v>545</v>
      </c>
      <c r="T410" s="1448"/>
      <c r="U410" s="1448"/>
      <c r="V410" t="s">
        <v>1649</v>
      </c>
      <c r="AG410" s="1493">
        <v>70</v>
      </c>
      <c r="AH410" s="1493"/>
      <c r="AI410" s="1493"/>
      <c r="AJ410" s="1493"/>
    </row>
    <row r="411" spans="4:36" ht="12.95" customHeight="1">
      <c r="D411" s="3" t="s">
        <v>1646</v>
      </c>
      <c r="S411" s="1448" t="s">
        <v>545</v>
      </c>
      <c r="T411" s="1448"/>
      <c r="U411" s="1448"/>
      <c r="V411" t="s">
        <v>1651</v>
      </c>
      <c r="AE411" s="1504">
        <v>425000</v>
      </c>
      <c r="AF411" s="1504"/>
      <c r="AG411" s="1504"/>
      <c r="AH411" s="1504"/>
      <c r="AI411" s="1504"/>
      <c r="AJ411" s="1504"/>
    </row>
    <row r="412" spans="4:36" ht="12.95" customHeight="1">
      <c r="D412" s="3" t="s">
        <v>1647</v>
      </c>
      <c r="K412" s="1540"/>
      <c r="L412" s="1540"/>
      <c r="M412" s="1540"/>
      <c r="N412" s="1540"/>
      <c r="O412" s="1540"/>
      <c r="P412" s="1540"/>
      <c r="Q412" s="1540"/>
      <c r="R412" s="1540"/>
      <c r="S412" s="1540"/>
      <c r="T412" s="1540"/>
      <c r="U412" s="1540"/>
      <c r="V412" s="1540"/>
      <c r="W412" s="1540"/>
      <c r="X412" s="1540"/>
      <c r="Y412" s="1540"/>
      <c r="Z412" s="1540"/>
      <c r="AA412" s="1540"/>
      <c r="AB412" s="1540"/>
      <c r="AC412" s="1540"/>
      <c r="AD412" s="1540"/>
      <c r="AE412" s="1540"/>
      <c r="AF412" s="1540"/>
      <c r="AG412" s="1540"/>
      <c r="AH412" s="1540"/>
      <c r="AI412" s="1540"/>
      <c r="AJ412" s="1540"/>
    </row>
    <row r="413" spans="4:36" ht="12.95" customHeight="1">
      <c r="D413" s="3" t="s">
        <v>1650</v>
      </c>
      <c r="K413" s="1540" t="s">
        <v>2728</v>
      </c>
      <c r="L413" s="1540"/>
      <c r="M413" s="1540"/>
      <c r="N413" s="1540"/>
      <c r="O413" s="1540"/>
      <c r="P413" s="1540"/>
      <c r="Q413" s="1540"/>
      <c r="R413" s="1540"/>
      <c r="S413" s="1540"/>
      <c r="T413" s="1540"/>
      <c r="U413" s="1540"/>
      <c r="V413" s="1540"/>
      <c r="W413" s="1540"/>
      <c r="X413" s="1540"/>
      <c r="Y413" s="1540"/>
      <c r="Z413" s="1540"/>
      <c r="AA413" s="1540"/>
      <c r="AB413" s="1540"/>
      <c r="AC413" s="1540"/>
      <c r="AD413" s="1540"/>
      <c r="AE413" s="1540"/>
      <c r="AF413" s="1540"/>
      <c r="AG413" s="1540"/>
      <c r="AH413" s="1540"/>
      <c r="AI413" s="1540"/>
      <c r="AJ413" s="1540"/>
    </row>
    <row r="414" spans="4:36" ht="12.95" customHeight="1">
      <c r="D414" s="3" t="s">
        <v>1653</v>
      </c>
      <c r="E414" s="477"/>
      <c r="F414" s="477"/>
      <c r="G414" s="477"/>
      <c r="H414" s="477"/>
      <c r="I414" s="477"/>
      <c r="J414" s="477"/>
      <c r="K414" s="477"/>
      <c r="L414" s="477"/>
      <c r="M414" s="477"/>
      <c r="N414" s="477"/>
      <c r="O414" s="477"/>
      <c r="P414" s="477"/>
      <c r="Q414" s="477"/>
      <c r="R414" s="477"/>
      <c r="S414" s="1510" t="s">
        <v>2712</v>
      </c>
      <c r="T414" s="1510"/>
      <c r="U414" s="1510"/>
      <c r="V414" s="1510"/>
      <c r="W414" s="1510"/>
      <c r="X414" s="1510"/>
      <c r="Y414" s="1510"/>
      <c r="Z414" s="1510"/>
      <c r="AA414" s="1510"/>
      <c r="AB414" s="1510"/>
      <c r="AC414" s="1510"/>
      <c r="AD414" s="1510"/>
      <c r="AE414" s="1510"/>
      <c r="AF414" s="1510"/>
      <c r="AG414" s="1510"/>
      <c r="AH414" s="1510"/>
      <c r="AI414" s="1510"/>
      <c r="AJ414" s="1510"/>
    </row>
    <row r="415" spans="4:36" ht="12.95" customHeight="1">
      <c r="D415" s="1272" t="s">
        <v>1652</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5"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1203</v>
      </c>
      <c r="I419" s="1499" t="s">
        <v>2713</v>
      </c>
      <c r="J419" s="1499"/>
      <c r="K419" s="1499"/>
      <c r="L419" s="1499"/>
      <c r="M419" s="1499"/>
      <c r="N419" s="1499"/>
      <c r="O419" s="1499"/>
      <c r="P419" s="1499"/>
      <c r="Q419" s="1499"/>
      <c r="R419" s="1499"/>
      <c r="S419" s="1499"/>
      <c r="T419" s="1499"/>
      <c r="U419" s="1499"/>
      <c r="V419" s="1499"/>
      <c r="W419" s="1499"/>
      <c r="X419" s="1499"/>
      <c r="Y419" s="1499"/>
      <c r="Z419" s="1499"/>
      <c r="AA419" s="1499"/>
      <c r="AB419" s="1499"/>
      <c r="AC419" s="1499"/>
      <c r="AD419" s="1499"/>
      <c r="AE419" s="1499"/>
    </row>
    <row r="420" spans="1:39" ht="12.95" customHeight="1">
      <c r="E420" t="s">
        <v>106</v>
      </c>
      <c r="R420" s="1426" t="s">
        <v>545</v>
      </c>
      <c r="S420" s="1426"/>
      <c r="AC420" s="27" t="s">
        <v>570</v>
      </c>
      <c r="AD420" s="1374">
        <v>7</v>
      </c>
      <c r="AE420" s="1374"/>
    </row>
    <row r="421" spans="1:39" ht="12.95" customHeight="1">
      <c r="E421" t="s">
        <v>107</v>
      </c>
      <c r="R421" s="1426" t="s">
        <v>591</v>
      </c>
      <c r="S421" s="1426"/>
      <c r="AC421" s="27" t="s">
        <v>570</v>
      </c>
      <c r="AD421" s="1374"/>
      <c r="AE421" s="1374"/>
    </row>
    <row r="422" spans="1:39" ht="12.95" customHeight="1">
      <c r="E422" t="s">
        <v>108</v>
      </c>
      <c r="S422" s="1426" t="s">
        <v>591</v>
      </c>
      <c r="T422" s="1426"/>
    </row>
    <row r="423" spans="1:39" ht="12.95" customHeight="1">
      <c r="E423" t="s">
        <v>170</v>
      </c>
      <c r="H423" s="1571" t="s">
        <v>2714</v>
      </c>
      <c r="I423" s="1571"/>
      <c r="J423" s="1571"/>
      <c r="K423" s="1571"/>
      <c r="L423" s="1571"/>
      <c r="M423" s="1571"/>
      <c r="N423" s="1571"/>
      <c r="O423" s="1571"/>
      <c r="P423" s="1571"/>
      <c r="Q423" s="1571"/>
      <c r="R423" s="1571"/>
      <c r="S423" s="1571"/>
      <c r="T423" s="1571"/>
      <c r="U423" s="1571"/>
      <c r="V423" s="1571"/>
      <c r="W423" s="1571"/>
      <c r="X423" s="1571"/>
      <c r="Y423" s="1571"/>
      <c r="Z423" s="1571"/>
      <c r="AA423" s="1571"/>
      <c r="AB423" s="1571"/>
      <c r="AC423" s="1571"/>
      <c r="AD423" s="1571"/>
      <c r="AE423" s="1571"/>
    </row>
    <row r="424" spans="1:39" ht="12.95" customHeight="1">
      <c r="H424" s="1572"/>
      <c r="I424" s="1572"/>
      <c r="J424" s="1572"/>
      <c r="K424" s="1572"/>
      <c r="L424" s="1572"/>
      <c r="M424" s="1572"/>
      <c r="N424" s="1572"/>
      <c r="O424" s="1572"/>
      <c r="P424" s="1572"/>
      <c r="Q424" s="1572"/>
      <c r="R424" s="1572"/>
      <c r="S424" s="1572"/>
      <c r="T424" s="1572"/>
      <c r="U424" s="1572"/>
      <c r="V424" s="1572"/>
      <c r="W424" s="1572"/>
      <c r="X424" s="1572"/>
      <c r="Y424" s="1572"/>
      <c r="Z424" s="1572"/>
      <c r="AA424" s="1572"/>
      <c r="AB424" s="1572"/>
      <c r="AC424" s="1572"/>
      <c r="AD424" s="1572"/>
      <c r="AE424" s="1572"/>
    </row>
    <row r="425" spans="1:39" ht="12.95" customHeight="1"/>
    <row r="426" spans="1:39" ht="12.95" customHeight="1">
      <c r="A426" s="2" t="s">
        <v>590</v>
      </c>
      <c r="B426" s="2"/>
      <c r="C426" s="2"/>
      <c r="D426" s="2" t="s">
        <v>114</v>
      </c>
      <c r="AF426" s="2" t="s">
        <v>956</v>
      </c>
    </row>
    <row r="427" spans="1:39" ht="12.95" customHeight="1">
      <c r="E427" s="1507"/>
      <c r="F427" s="1507"/>
      <c r="G427" s="1507"/>
      <c r="H427" s="13" t="s">
        <v>115</v>
      </c>
      <c r="I427" s="1507"/>
      <c r="J427" s="1507"/>
      <c r="K427" s="1507"/>
      <c r="L427" t="s">
        <v>116</v>
      </c>
      <c r="N427" s="27" t="s">
        <v>575</v>
      </c>
      <c r="P427" s="1494">
        <v>0.64510000000000001</v>
      </c>
      <c r="Q427" s="1494"/>
      <c r="R427" s="1494"/>
      <c r="S427" t="s">
        <v>117</v>
      </c>
      <c r="W427" s="1509">
        <f>IF(E427&gt;0,(E427*I427),(P427*43560))</f>
        <v>28100.556</v>
      </c>
      <c r="X427" s="1509"/>
      <c r="Y427" s="1509"/>
      <c r="Z427" t="s">
        <v>118</v>
      </c>
      <c r="AF427" s="1581">
        <f>IFERROR(IF(P427&gt;0,(AG446/P427),(AG446/(W427/43560))),0)</f>
        <v>227.87164780654163</v>
      </c>
      <c r="AG427" s="1581"/>
      <c r="AH427" s="1581"/>
      <c r="AM427" s="3"/>
    </row>
    <row r="428" spans="1:39" ht="12.95" customHeight="1">
      <c r="E428" t="s">
        <v>51</v>
      </c>
    </row>
    <row r="429" spans="1:39" ht="12.95" customHeight="1">
      <c r="E429" s="1511"/>
      <c r="F429" s="1511"/>
      <c r="G429" s="1511"/>
      <c r="H429" s="1511"/>
      <c r="I429" s="1511"/>
      <c r="J429" s="1511"/>
      <c r="K429" s="1511"/>
      <c r="L429" s="1511"/>
      <c r="M429" s="1511"/>
      <c r="N429" s="1511"/>
      <c r="O429" s="1511"/>
      <c r="P429" s="1511"/>
      <c r="Q429" s="1511"/>
      <c r="R429" s="1511"/>
      <c r="S429" s="1511"/>
      <c r="T429" s="1511"/>
      <c r="U429" s="1511"/>
      <c r="V429" s="1511"/>
      <c r="W429" s="1511"/>
      <c r="X429" s="1511"/>
      <c r="Y429" s="1511"/>
      <c r="Z429" s="1511"/>
      <c r="AA429" s="1511"/>
      <c r="AB429" s="1511"/>
      <c r="AC429" s="1511"/>
      <c r="AD429" s="1511"/>
      <c r="AE429" s="1511"/>
      <c r="AF429" s="1511"/>
      <c r="AG429" s="1511"/>
      <c r="AH429" s="1511"/>
      <c r="AI429" s="1511"/>
      <c r="AJ429" s="1511"/>
    </row>
    <row r="430" spans="1:39" ht="12.95" customHeight="1">
      <c r="E430" s="118" t="s">
        <v>1724</v>
      </c>
      <c r="F430" s="1008"/>
      <c r="G430" s="1008"/>
      <c r="H430" s="1008"/>
      <c r="I430" s="1513">
        <v>0.64510000000000001</v>
      </c>
      <c r="J430" s="1513"/>
      <c r="K430" s="1513"/>
      <c r="L430" s="1008"/>
      <c r="M430" s="118"/>
      <c r="N430" s="1008"/>
      <c r="O430" s="1008"/>
      <c r="P430" s="1827">
        <f>(DU763+DU786+DU808)/I430</f>
        <v>378.23593241357929</v>
      </c>
      <c r="Q430" s="1827"/>
      <c r="R430" s="1827"/>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426">
        <v>1</v>
      </c>
      <c r="Q433" s="1426"/>
      <c r="S433" t="s">
        <v>189</v>
      </c>
      <c r="AE433" s="1426">
        <v>1</v>
      </c>
      <c r="AF433" s="1426"/>
    </row>
    <row r="434" spans="1:36" ht="12.95" customHeight="1">
      <c r="E434" t="s">
        <v>190</v>
      </c>
      <c r="P434" s="1426">
        <v>0</v>
      </c>
      <c r="Q434" s="1426"/>
      <c r="S434" t="s">
        <v>131</v>
      </c>
      <c r="AE434" s="1426" t="s">
        <v>591</v>
      </c>
      <c r="AF434" s="1426"/>
    </row>
    <row r="435" spans="1:36" ht="12.95" customHeight="1">
      <c r="F435" s="28" t="s">
        <v>132</v>
      </c>
    </row>
    <row r="436" spans="1:36" ht="12.95" customHeight="1">
      <c r="F436" s="1520"/>
      <c r="G436" s="1520"/>
      <c r="H436" s="1520"/>
      <c r="I436" s="1520"/>
      <c r="J436" s="1520"/>
      <c r="K436" s="1520"/>
      <c r="L436" s="1520"/>
      <c r="M436" s="1520"/>
      <c r="N436" s="1520"/>
      <c r="O436" s="1520"/>
      <c r="P436" s="1520"/>
      <c r="Q436" s="1520"/>
      <c r="R436" s="1520"/>
      <c r="S436" s="1520"/>
      <c r="T436" s="1520"/>
      <c r="U436" s="1520"/>
      <c r="V436" s="1520"/>
      <c r="W436" s="1520"/>
      <c r="X436" s="1520"/>
      <c r="Y436" s="1520"/>
      <c r="Z436" s="1520"/>
      <c r="AA436" s="1520"/>
      <c r="AB436" s="1520"/>
      <c r="AC436" s="1520"/>
      <c r="AD436" s="1520"/>
      <c r="AE436" s="1520"/>
      <c r="AF436" s="1520"/>
      <c r="AG436" s="1520"/>
      <c r="AH436" s="1520"/>
    </row>
    <row r="437" spans="1:36" ht="12.95" customHeight="1">
      <c r="F437" s="1521"/>
      <c r="G437" s="1521"/>
      <c r="H437" s="1521"/>
      <c r="I437" s="1521"/>
      <c r="J437" s="1521"/>
      <c r="K437" s="1521"/>
      <c r="L437" s="1521"/>
      <c r="M437" s="1521"/>
      <c r="N437" s="1521"/>
      <c r="O437" s="1521"/>
      <c r="P437" s="1521"/>
      <c r="Q437" s="1521"/>
      <c r="R437" s="1521"/>
      <c r="S437" s="1521"/>
      <c r="T437" s="1521"/>
      <c r="U437" s="1521"/>
      <c r="V437" s="1521"/>
      <c r="W437" s="1521"/>
      <c r="X437" s="1521"/>
      <c r="Y437" s="1521"/>
      <c r="Z437" s="1521"/>
      <c r="AA437" s="1521"/>
      <c r="AB437" s="1521"/>
      <c r="AC437" s="1521"/>
      <c r="AD437" s="1521"/>
      <c r="AE437" s="1521"/>
      <c r="AF437" s="1521"/>
      <c r="AG437" s="1521"/>
      <c r="AH437" s="1521"/>
    </row>
    <row r="438" spans="1:36" ht="12.95" customHeight="1">
      <c r="E438" t="s">
        <v>608</v>
      </c>
      <c r="P438" s="1"/>
      <c r="Q438" s="1426" t="s">
        <v>545</v>
      </c>
      <c r="R438" s="1426"/>
    </row>
    <row r="439" spans="1:36" ht="12.95" customHeight="1">
      <c r="F439" t="s">
        <v>609</v>
      </c>
      <c r="P439" s="1"/>
      <c r="Q439" s="1"/>
      <c r="AF439" s="1426" t="s">
        <v>591</v>
      </c>
      <c r="AG439" s="1512"/>
    </row>
    <row r="440" spans="1:36" ht="12.95" customHeight="1"/>
    <row r="441" spans="1:36" ht="12.95" customHeight="1">
      <c r="A441" s="2"/>
      <c r="B441" s="2"/>
      <c r="C441" s="2"/>
      <c r="E441" s="4" t="s">
        <v>308</v>
      </c>
      <c r="Z441" s="1426" t="s">
        <v>669</v>
      </c>
      <c r="AA441" s="1426"/>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426" t="s">
        <v>591</v>
      </c>
      <c r="AA443" s="1426"/>
    </row>
    <row r="444" spans="1:36" ht="12.95" customHeight="1"/>
    <row r="445" spans="1:36" ht="12.95" customHeight="1">
      <c r="A445" s="2" t="s">
        <v>467</v>
      </c>
      <c r="B445" s="2"/>
      <c r="C445" s="2"/>
      <c r="D445" s="2" t="s">
        <v>764</v>
      </c>
      <c r="AF445" s="48"/>
    </row>
    <row r="446" spans="1:36" ht="12.95" customHeight="1">
      <c r="D446" s="1398" t="s">
        <v>43</v>
      </c>
      <c r="E446" s="1399"/>
      <c r="F446" s="1399"/>
      <c r="G446" s="1399"/>
      <c r="H446" s="1399"/>
      <c r="I446" s="1399"/>
      <c r="J446" s="1399"/>
      <c r="K446" s="1399"/>
      <c r="L446" s="1399"/>
      <c r="M446" s="1399"/>
      <c r="N446" s="1399"/>
      <c r="O446" s="1399"/>
      <c r="P446" s="1399"/>
      <c r="Q446" s="1399"/>
      <c r="R446" s="1399"/>
      <c r="S446" s="1399"/>
      <c r="T446" s="1399"/>
      <c r="U446" s="1399"/>
      <c r="V446" s="1399"/>
      <c r="W446" s="1399"/>
      <c r="X446" s="1399"/>
      <c r="Y446" s="1399"/>
      <c r="Z446" s="1399"/>
      <c r="AA446" s="1399"/>
      <c r="AB446" s="1399"/>
      <c r="AC446" s="1399"/>
      <c r="AD446" s="1399"/>
      <c r="AE446" s="1399"/>
      <c r="AF446" s="1400"/>
      <c r="AG446" s="1500">
        <v>147</v>
      </c>
      <c r="AH446" s="1500"/>
      <c r="AI446" s="1500"/>
      <c r="AJ446" s="1500"/>
    </row>
    <row r="447" spans="1:36" ht="12.95" customHeight="1">
      <c r="D447" s="1492" t="s">
        <v>1221</v>
      </c>
      <c r="E447" s="1502"/>
      <c r="F447" s="1502"/>
      <c r="G447" s="1502"/>
      <c r="H447" s="1502"/>
      <c r="I447" s="1502"/>
      <c r="J447" s="1502"/>
      <c r="K447" s="1502"/>
      <c r="L447" s="1502"/>
      <c r="M447" s="1502"/>
      <c r="N447" s="1502"/>
      <c r="O447" s="1502"/>
      <c r="P447" s="1502"/>
      <c r="Q447" s="1502"/>
      <c r="R447" s="1502"/>
      <c r="S447" s="1502"/>
      <c r="T447" s="1502"/>
      <c r="U447" s="1502"/>
      <c r="V447" s="1502"/>
      <c r="W447" s="1502"/>
      <c r="X447" s="1502"/>
      <c r="Y447" s="1502"/>
      <c r="Z447" s="1502"/>
      <c r="AA447" s="1502"/>
      <c r="AB447" s="1502"/>
      <c r="AC447" s="1502"/>
      <c r="AD447" s="1502"/>
      <c r="AE447" s="1502"/>
      <c r="AF447" s="1503"/>
      <c r="AG447" s="1495">
        <v>0</v>
      </c>
      <c r="AH447" s="1496"/>
      <c r="AI447" s="1496"/>
      <c r="AJ447" s="1496"/>
    </row>
    <row r="448" spans="1:36" ht="12.95" customHeight="1">
      <c r="D448" s="1492" t="s">
        <v>1030</v>
      </c>
      <c r="E448" s="1502"/>
      <c r="F448" s="1502"/>
      <c r="G448" s="1502"/>
      <c r="H448" s="1502"/>
      <c r="I448" s="1502"/>
      <c r="J448" s="1502"/>
      <c r="K448" s="1502"/>
      <c r="L448" s="1502"/>
      <c r="M448" s="1502"/>
      <c r="N448" s="1502"/>
      <c r="O448" s="1502"/>
      <c r="P448" s="1502"/>
      <c r="Q448" s="1502"/>
      <c r="R448" s="1502"/>
      <c r="S448" s="1502"/>
      <c r="T448" s="1502"/>
      <c r="U448" s="1502"/>
      <c r="V448" s="1502"/>
      <c r="W448" s="1502"/>
      <c r="X448" s="1502"/>
      <c r="Y448" s="1502"/>
      <c r="Z448" s="1502"/>
      <c r="AA448" s="1502"/>
      <c r="AB448" s="1502"/>
      <c r="AC448" s="1502"/>
      <c r="AD448" s="1502"/>
      <c r="AE448" s="1502"/>
      <c r="AF448" s="1503"/>
      <c r="AG448" s="1500">
        <v>146</v>
      </c>
      <c r="AH448" s="1500"/>
      <c r="AI448" s="1500"/>
      <c r="AJ448" s="1500"/>
    </row>
    <row r="449" spans="4:55" ht="12.95" customHeight="1">
      <c r="D449" s="1492" t="s">
        <v>1031</v>
      </c>
      <c r="E449" s="1502"/>
      <c r="F449" s="1502"/>
      <c r="G449" s="1502"/>
      <c r="H449" s="1502"/>
      <c r="I449" s="1502"/>
      <c r="J449" s="1502"/>
      <c r="K449" s="1502"/>
      <c r="L449" s="1502"/>
      <c r="M449" s="1502"/>
      <c r="N449" s="1502"/>
      <c r="O449" s="1502"/>
      <c r="P449" s="1502"/>
      <c r="Q449" s="1502"/>
      <c r="R449" s="1502"/>
      <c r="S449" s="1502"/>
      <c r="T449" s="1502"/>
      <c r="U449" s="1502"/>
      <c r="V449" s="1502"/>
      <c r="W449" s="1502"/>
      <c r="X449" s="1502"/>
      <c r="Y449" s="1502"/>
      <c r="Z449" s="1502"/>
      <c r="AA449" s="1502"/>
      <c r="AB449" s="1502"/>
      <c r="AC449" s="1502"/>
      <c r="AD449" s="1502"/>
      <c r="AE449" s="1502"/>
      <c r="AF449" s="1503"/>
      <c r="AG449" s="1500">
        <v>146</v>
      </c>
      <c r="AH449" s="1500"/>
      <c r="AI449" s="1500"/>
      <c r="AJ449" s="1500"/>
    </row>
    <row r="450" spans="4:55" ht="12.95" customHeight="1">
      <c r="D450" s="1492" t="s">
        <v>1033</v>
      </c>
      <c r="E450" s="1502"/>
      <c r="F450" s="1502"/>
      <c r="G450" s="1502"/>
      <c r="H450" s="1502"/>
      <c r="I450" s="1502"/>
      <c r="J450" s="1502"/>
      <c r="K450" s="1502"/>
      <c r="L450" s="1502"/>
      <c r="M450" s="1502"/>
      <c r="N450" s="1502"/>
      <c r="O450" s="1502"/>
      <c r="P450" s="1502"/>
      <c r="Q450" s="1502"/>
      <c r="R450" s="1502"/>
      <c r="S450" s="1502"/>
      <c r="T450" s="1502"/>
      <c r="U450" s="1502"/>
      <c r="V450" s="1502"/>
      <c r="W450" s="1502"/>
      <c r="X450" s="1502"/>
      <c r="Y450" s="1502"/>
      <c r="Z450" s="1502"/>
      <c r="AA450" s="1502"/>
      <c r="AB450" s="1502"/>
      <c r="AC450" s="1502"/>
      <c r="AD450" s="1502"/>
      <c r="AE450" s="1502"/>
      <c r="AF450" s="1503"/>
      <c r="AG450" s="1393">
        <f>IF(ISERROR(AG449/AG448),0,AG449/AG448)</f>
        <v>1</v>
      </c>
      <c r="AH450" s="1393"/>
      <c r="AI450" s="1393"/>
      <c r="AJ450" s="1393"/>
    </row>
    <row r="451" spans="4:55" ht="12.95" customHeight="1">
      <c r="D451" s="1492" t="s">
        <v>1032</v>
      </c>
      <c r="E451" s="1502"/>
      <c r="F451" s="1502"/>
      <c r="G451" s="1502"/>
      <c r="H451" s="1502"/>
      <c r="I451" s="1502"/>
      <c r="J451" s="1502"/>
      <c r="K451" s="1502"/>
      <c r="L451" s="1502"/>
      <c r="M451" s="1502"/>
      <c r="N451" s="1502"/>
      <c r="O451" s="1502"/>
      <c r="P451" s="1502"/>
      <c r="Q451" s="1502"/>
      <c r="R451" s="1502"/>
      <c r="S451" s="1502"/>
      <c r="T451" s="1502"/>
      <c r="U451" s="1502"/>
      <c r="V451" s="1502"/>
      <c r="W451" s="1502"/>
      <c r="X451" s="1502"/>
      <c r="Y451" s="1502"/>
      <c r="Z451" s="1502"/>
      <c r="AA451" s="1502"/>
      <c r="AB451" s="1502"/>
      <c r="AC451" s="1502"/>
      <c r="AD451" s="1502"/>
      <c r="AE451" s="1502"/>
      <c r="AF451" s="1503"/>
      <c r="AG451" s="1501">
        <f>93219-504</f>
        <v>92715</v>
      </c>
      <c r="AH451" s="1501"/>
      <c r="AI451" s="1501"/>
      <c r="AJ451" s="1501"/>
    </row>
    <row r="452" spans="4:55" ht="12.95" customHeight="1">
      <c r="D452" s="1492" t="s">
        <v>1034</v>
      </c>
      <c r="E452" s="1502"/>
      <c r="F452" s="1502"/>
      <c r="G452" s="1502"/>
      <c r="H452" s="1502"/>
      <c r="I452" s="1502"/>
      <c r="J452" s="1502"/>
      <c r="K452" s="1502"/>
      <c r="L452" s="1502"/>
      <c r="M452" s="1502"/>
      <c r="N452" s="1502"/>
      <c r="O452" s="1502"/>
      <c r="P452" s="1502"/>
      <c r="Q452" s="1502"/>
      <c r="R452" s="1502"/>
      <c r="S452" s="1502"/>
      <c r="T452" s="1502"/>
      <c r="U452" s="1502"/>
      <c r="V452" s="1502"/>
      <c r="W452" s="1502"/>
      <c r="X452" s="1502"/>
      <c r="Y452" s="1502"/>
      <c r="Z452" s="1502"/>
      <c r="AA452" s="1502"/>
      <c r="AB452" s="1502"/>
      <c r="AC452" s="1502"/>
      <c r="AD452" s="1502"/>
      <c r="AE452" s="1502"/>
      <c r="AF452" s="1503"/>
      <c r="AG452" s="1501">
        <v>92715</v>
      </c>
      <c r="AH452" s="1501"/>
      <c r="AI452" s="1501"/>
      <c r="AJ452" s="1501"/>
    </row>
    <row r="453" spans="4:55" ht="12.95" customHeight="1">
      <c r="D453" s="1492" t="s">
        <v>1035</v>
      </c>
      <c r="E453" s="1502"/>
      <c r="F453" s="1502"/>
      <c r="G453" s="1502"/>
      <c r="H453" s="1502"/>
      <c r="I453" s="1502"/>
      <c r="J453" s="1502"/>
      <c r="K453" s="1502"/>
      <c r="L453" s="1502"/>
      <c r="M453" s="1502"/>
      <c r="N453" s="1502"/>
      <c r="O453" s="1502"/>
      <c r="P453" s="1502"/>
      <c r="Q453" s="1502"/>
      <c r="R453" s="1502"/>
      <c r="S453" s="1502"/>
      <c r="T453" s="1502"/>
      <c r="U453" s="1502"/>
      <c r="V453" s="1502"/>
      <c r="W453" s="1502"/>
      <c r="X453" s="1502"/>
      <c r="Y453" s="1502"/>
      <c r="Z453" s="1502"/>
      <c r="AA453" s="1502"/>
      <c r="AB453" s="1502"/>
      <c r="AC453" s="1502"/>
      <c r="AD453" s="1502"/>
      <c r="AE453" s="1502"/>
      <c r="AF453" s="1503"/>
      <c r="AG453" s="1393">
        <f>IF(ISERROR(AG452/AG451),0,AG452/AG451)</f>
        <v>1</v>
      </c>
      <c r="AH453" s="1393"/>
      <c r="AI453" s="1393"/>
      <c r="AJ453" s="1393"/>
    </row>
    <row r="454" spans="4:55" ht="12.95" customHeight="1">
      <c r="D454" s="1492" t="s">
        <v>1036</v>
      </c>
      <c r="E454" s="1502"/>
      <c r="F454" s="1502"/>
      <c r="G454" s="1502"/>
      <c r="H454" s="1502"/>
      <c r="I454" s="1502"/>
      <c r="J454" s="1502"/>
      <c r="K454" s="1502"/>
      <c r="L454" s="1502"/>
      <c r="M454" s="1502"/>
      <c r="N454" s="1502"/>
      <c r="O454" s="1502"/>
      <c r="P454" s="1502"/>
      <c r="Q454" s="1502"/>
      <c r="R454" s="1502"/>
      <c r="S454" s="1502"/>
      <c r="T454" s="1502"/>
      <c r="U454" s="1502"/>
      <c r="V454" s="1502"/>
      <c r="W454" s="1502"/>
      <c r="X454" s="1502"/>
      <c r="Y454" s="1502"/>
      <c r="Z454" s="1502"/>
      <c r="AA454" s="1502"/>
      <c r="AB454" s="1502"/>
      <c r="AC454" s="1502"/>
      <c r="AD454" s="1502"/>
      <c r="AE454" s="1502"/>
      <c r="AF454" s="1503"/>
      <c r="AG454" s="1393">
        <f>MIN(IF(AG450&gt;AG453,AG453,AG450),1)</f>
        <v>1</v>
      </c>
      <c r="AH454" s="1393"/>
      <c r="AI454" s="1393"/>
      <c r="AJ454" s="1393"/>
    </row>
    <row r="455" spans="4:55" ht="12.95" customHeight="1">
      <c r="D455" s="1492" t="s">
        <v>2043</v>
      </c>
      <c r="E455" s="1399"/>
      <c r="F455" s="1399"/>
      <c r="G455" s="1399"/>
      <c r="H455" s="1399"/>
      <c r="I455" s="1399"/>
      <c r="J455" s="1399"/>
      <c r="K455" s="1399"/>
      <c r="L455" s="1399"/>
      <c r="M455" s="1399"/>
      <c r="N455" s="1399"/>
      <c r="O455" s="1399"/>
      <c r="P455" s="1399"/>
      <c r="Q455" s="1399"/>
      <c r="R455" s="1399"/>
      <c r="S455" s="1399"/>
      <c r="T455" s="1399"/>
      <c r="U455" s="1399"/>
      <c r="V455" s="1399"/>
      <c r="W455" s="1399"/>
      <c r="X455" s="1399"/>
      <c r="Y455" s="1399"/>
      <c r="Z455" s="1399"/>
      <c r="AA455" s="1399"/>
      <c r="AB455" s="1399"/>
      <c r="AC455" s="1399"/>
      <c r="AD455" s="1399"/>
      <c r="AE455" s="1399"/>
      <c r="AF455" s="1400"/>
      <c r="AG455" s="1501">
        <f>106+1674+1041+1471+2445</f>
        <v>6737</v>
      </c>
      <c r="AH455" s="1501"/>
      <c r="AI455" s="1501"/>
      <c r="AJ455" s="1501"/>
      <c r="AZ455" s="34"/>
      <c r="BA455" s="34"/>
      <c r="BB455" s="34"/>
      <c r="BC455" s="34"/>
    </row>
    <row r="456" spans="4:55" ht="12.95" customHeight="1">
      <c r="D456" s="1398" t="s">
        <v>569</v>
      </c>
      <c r="E456" s="1399"/>
      <c r="F456" s="1399"/>
      <c r="G456" s="1399"/>
      <c r="H456" s="1399"/>
      <c r="I456" s="1399"/>
      <c r="J456" s="1399"/>
      <c r="K456" s="1399"/>
      <c r="L456" s="1399"/>
      <c r="M456" s="1399"/>
      <c r="N456" s="1399"/>
      <c r="O456" s="1399"/>
      <c r="P456" s="1399"/>
      <c r="Q456" s="1399"/>
      <c r="R456" s="1399"/>
      <c r="S456" s="1399"/>
      <c r="T456" s="1399"/>
      <c r="U456" s="1399"/>
      <c r="V456" s="1399"/>
      <c r="W456" s="1399"/>
      <c r="X456" s="1399"/>
      <c r="Y456" s="1399"/>
      <c r="Z456" s="1399"/>
      <c r="AA456" s="1399"/>
      <c r="AB456" s="1399"/>
      <c r="AC456" s="1399"/>
      <c r="AD456" s="1399"/>
      <c r="AE456" s="1399"/>
      <c r="AF456" s="1400"/>
      <c r="AG456" s="1501">
        <v>0</v>
      </c>
      <c r="AH456" s="1501"/>
      <c r="AI456" s="1501"/>
      <c r="AJ456" s="1501"/>
      <c r="AZ456" s="3"/>
      <c r="BA456" s="3"/>
      <c r="BB456" s="3"/>
      <c r="BC456" s="3"/>
    </row>
    <row r="457" spans="4:55" ht="12.95" customHeight="1">
      <c r="D457" s="1492" t="s">
        <v>1204</v>
      </c>
      <c r="E457" s="1399"/>
      <c r="F457" s="1399"/>
      <c r="G457" s="1399"/>
      <c r="H457" s="1399"/>
      <c r="I457" s="1399"/>
      <c r="J457" s="1399"/>
      <c r="K457" s="1399"/>
      <c r="L457" s="1399"/>
      <c r="M457" s="1399"/>
      <c r="N457" s="1399"/>
      <c r="O457" s="1399"/>
      <c r="P457" s="1399"/>
      <c r="Q457" s="1399"/>
      <c r="R457" s="1399"/>
      <c r="S457" s="1399"/>
      <c r="T457" s="1399"/>
      <c r="U457" s="1399"/>
      <c r="V457" s="1399"/>
      <c r="W457" s="1399"/>
      <c r="X457" s="1399"/>
      <c r="Y457" s="1399"/>
      <c r="Z457" s="1399"/>
      <c r="AA457" s="1399"/>
      <c r="AB457" s="1399"/>
      <c r="AC457" s="1399"/>
      <c r="AD457" s="1399"/>
      <c r="AE457" s="1399"/>
      <c r="AF457" s="1400"/>
      <c r="AG457" s="1501">
        <f>5805+106+1674+1041+1471+2445+504</f>
        <v>13046</v>
      </c>
      <c r="AH457" s="1501"/>
      <c r="AI457" s="1501"/>
      <c r="AJ457" s="1501"/>
      <c r="AZ457" s="3"/>
      <c r="BA457" s="3"/>
      <c r="BB457" s="3"/>
      <c r="BC457" s="3"/>
    </row>
    <row r="458" spans="4:55" ht="12.95" customHeight="1">
      <c r="D458" s="1492" t="s">
        <v>1037</v>
      </c>
      <c r="E458" s="1399"/>
      <c r="F458" s="1399"/>
      <c r="G458" s="1399"/>
      <c r="H458" s="1399"/>
      <c r="I458" s="1399"/>
      <c r="J458" s="1399"/>
      <c r="K458" s="1399"/>
      <c r="L458" s="1399"/>
      <c r="M458" s="1399"/>
      <c r="N458" s="1399"/>
      <c r="O458" s="1399"/>
      <c r="P458" s="1399"/>
      <c r="Q458" s="1399"/>
      <c r="R458" s="1399"/>
      <c r="S458" s="1399"/>
      <c r="T458" s="1399"/>
      <c r="U458" s="1399"/>
      <c r="V458" s="1399"/>
      <c r="W458" s="1399"/>
      <c r="X458" s="1399"/>
      <c r="Y458" s="1399"/>
      <c r="Z458" s="1399"/>
      <c r="AA458" s="1399"/>
      <c r="AB458" s="1399"/>
      <c r="AC458" s="1399"/>
      <c r="AD458" s="1399"/>
      <c r="AE458" s="1399"/>
      <c r="AF458" s="1400"/>
      <c r="AG458" s="1501">
        <v>0</v>
      </c>
      <c r="AH458" s="1501"/>
      <c r="AI458" s="1501"/>
      <c r="AJ458" s="1501"/>
      <c r="BB458" s="3"/>
      <c r="BC458" s="3"/>
    </row>
    <row r="459" spans="4:55" ht="12.95" customHeight="1">
      <c r="D459" s="1566" t="s">
        <v>1038</v>
      </c>
      <c r="E459" s="1567"/>
      <c r="F459" s="1567"/>
      <c r="G459" s="1567"/>
      <c r="H459" s="1567"/>
      <c r="I459" s="1567"/>
      <c r="J459" s="1567"/>
      <c r="K459" s="1567"/>
      <c r="L459" s="1567"/>
      <c r="M459" s="1567"/>
      <c r="N459" s="1567"/>
      <c r="O459" s="1567"/>
      <c r="P459" s="1567"/>
      <c r="Q459" s="1567"/>
      <c r="R459" s="1567"/>
      <c r="S459" s="1567"/>
      <c r="T459" s="1567"/>
      <c r="U459" s="1567"/>
      <c r="V459" s="1567"/>
      <c r="W459" s="1567"/>
      <c r="X459" s="1567"/>
      <c r="Y459" s="1567"/>
      <c r="Z459" s="1567"/>
      <c r="AA459" s="1567"/>
      <c r="AB459" s="1567"/>
      <c r="AC459" s="1567"/>
      <c r="AD459" s="1567"/>
      <c r="AE459" s="1567"/>
      <c r="AF459" s="1568"/>
      <c r="AG459" s="1432">
        <f>AG451+AG455+AG457+AG458</f>
        <v>112498</v>
      </c>
      <c r="AH459" s="1432"/>
      <c r="AI459" s="1432"/>
      <c r="AJ459" s="1432"/>
      <c r="AZ459" s="3"/>
      <c r="BA459" s="3"/>
      <c r="BB459" s="3"/>
      <c r="BC459" s="3"/>
    </row>
    <row r="460" spans="4:55" ht="12.95" customHeight="1">
      <c r="D460" s="1573" t="s">
        <v>1205</v>
      </c>
      <c r="E460" s="1573"/>
      <c r="F460" s="1573"/>
      <c r="G460" s="1573"/>
      <c r="H460" s="1573"/>
      <c r="I460" s="1573"/>
      <c r="J460" s="1573"/>
      <c r="K460" s="1573"/>
      <c r="L460" s="1573"/>
      <c r="M460" s="1573"/>
      <c r="N460" s="1573"/>
      <c r="O460" s="1573"/>
      <c r="P460" s="1573"/>
      <c r="Q460" s="1573"/>
      <c r="R460" s="1573"/>
      <c r="S460" s="1573"/>
      <c r="T460" s="1573"/>
      <c r="U460" s="1573"/>
      <c r="V460" s="1573"/>
      <c r="W460" s="1573"/>
      <c r="X460" s="1573"/>
      <c r="Y460" s="1573"/>
      <c r="Z460" s="1573"/>
      <c r="AA460" s="1573"/>
      <c r="AB460" s="1573"/>
      <c r="AC460" s="1573"/>
      <c r="AD460" s="1573"/>
      <c r="AE460" s="1573"/>
      <c r="AF460" s="1573"/>
      <c r="AG460" s="1573"/>
      <c r="AH460" s="1573"/>
      <c r="AI460" s="1573"/>
      <c r="AJ460" s="1573"/>
      <c r="AZ460" s="3"/>
      <c r="BA460" s="3"/>
      <c r="BB460" s="3"/>
      <c r="BC460" s="3"/>
    </row>
    <row r="461" spans="4:55" ht="12.95" customHeight="1">
      <c r="D461" s="1574"/>
      <c r="E461" s="1574"/>
      <c r="F461" s="1574"/>
      <c r="G461" s="1574"/>
      <c r="H461" s="1574"/>
      <c r="I461" s="1574"/>
      <c r="J461" s="1574"/>
      <c r="K461" s="1574"/>
      <c r="L461" s="1574"/>
      <c r="M461" s="1574"/>
      <c r="N461" s="1574"/>
      <c r="O461" s="1574"/>
      <c r="P461" s="1574"/>
      <c r="Q461" s="1574"/>
      <c r="R461" s="1574"/>
      <c r="S461" s="1574"/>
      <c r="T461" s="1574"/>
      <c r="U461" s="1574"/>
      <c r="V461" s="1574"/>
      <c r="W461" s="1574"/>
      <c r="X461" s="1574"/>
      <c r="Y461" s="1574"/>
      <c r="Z461" s="1574"/>
      <c r="AA461" s="1574"/>
      <c r="AB461" s="1574"/>
      <c r="AC461" s="1574"/>
      <c r="AD461" s="1574"/>
      <c r="AE461" s="1574"/>
      <c r="AF461" s="1574"/>
      <c r="AG461" s="1574"/>
      <c r="AH461" s="1574"/>
      <c r="AI461" s="1574"/>
      <c r="AJ461" s="1574"/>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3">
        <f>IF(AG446=0,"",'Sources and Uses Budget'!B105/Application!AG446)</f>
        <v>389549.29931972787</v>
      </c>
      <c r="AD463" s="1473"/>
      <c r="AE463" s="1473"/>
      <c r="AF463" s="1473"/>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3">
        <f>IF(AG446=0,"",'Sources and Uses Budget'!C105/Application!AG446)</f>
        <v>389549.29931972787</v>
      </c>
      <c r="AD464" s="1473"/>
      <c r="AE464" s="1473"/>
      <c r="AF464" s="1473"/>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3">
        <f>IF(AG446=0,"",('Sources and Uses Budget'!$S$107+'Sources and Uses Budget'!$T$107)/Application!AG446)</f>
        <v>351411.7482993197</v>
      </c>
      <c r="AD465" s="1473"/>
      <c r="AE465" s="1473"/>
      <c r="AF465" s="1473"/>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04" t="s">
        <v>2055</v>
      </c>
      <c r="E473" s="1434"/>
      <c r="F473" s="1434"/>
      <c r="G473" s="1434"/>
      <c r="H473" s="1434"/>
      <c r="I473" s="1434"/>
      <c r="J473" s="1434"/>
      <c r="K473" s="1434"/>
      <c r="L473" s="1434"/>
      <c r="M473" s="1434"/>
      <c r="N473" s="1434"/>
      <c r="O473" s="1434"/>
      <c r="P473" s="1434"/>
      <c r="Q473" s="1434"/>
      <c r="R473" s="1434"/>
      <c r="S473" s="1434"/>
      <c r="T473" s="1434"/>
      <c r="U473" s="1434"/>
      <c r="V473" s="1435"/>
      <c r="W473" s="1401">
        <v>0</v>
      </c>
      <c r="X473" s="1402"/>
      <c r="Y473" s="140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33" t="s">
        <v>693</v>
      </c>
      <c r="E474" s="1434"/>
      <c r="F474" s="1434"/>
      <c r="G474" s="1434"/>
      <c r="H474" s="1434"/>
      <c r="I474" s="1434"/>
      <c r="J474" s="1434"/>
      <c r="K474" s="1434"/>
      <c r="L474" s="1434"/>
      <c r="M474" s="1434"/>
      <c r="N474" s="1434"/>
      <c r="O474" s="1434"/>
      <c r="P474" s="1434"/>
      <c r="Q474" s="1434"/>
      <c r="R474" s="1434"/>
      <c r="S474" s="1434"/>
      <c r="T474" s="1434"/>
      <c r="U474" s="1434"/>
      <c r="V474" s="1435"/>
      <c r="W474" s="1401">
        <v>0</v>
      </c>
      <c r="X474" s="1402"/>
      <c r="Y474" s="140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33" t="s">
        <v>694</v>
      </c>
      <c r="E475" s="1434"/>
      <c r="F475" s="1434"/>
      <c r="G475" s="1434"/>
      <c r="H475" s="1434"/>
      <c r="I475" s="1434"/>
      <c r="J475" s="1434"/>
      <c r="K475" s="1434"/>
      <c r="L475" s="1434"/>
      <c r="M475" s="1434"/>
      <c r="N475" s="1434"/>
      <c r="O475" s="1434"/>
      <c r="P475" s="1434"/>
      <c r="Q475" s="1434"/>
      <c r="R475" s="1434"/>
      <c r="S475" s="1434"/>
      <c r="T475" s="1434"/>
      <c r="U475" s="1434"/>
      <c r="V475" s="1435"/>
      <c r="W475" s="1401">
        <v>0</v>
      </c>
      <c r="X475" s="1402"/>
      <c r="Y475" s="1403"/>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33" t="s">
        <v>695</v>
      </c>
      <c r="E476" s="1434"/>
      <c r="F476" s="1434"/>
      <c r="G476" s="1434"/>
      <c r="H476" s="1434"/>
      <c r="I476" s="1434"/>
      <c r="J476" s="1434"/>
      <c r="K476" s="1434"/>
      <c r="L476" s="1434"/>
      <c r="M476" s="1434"/>
      <c r="N476" s="1434"/>
      <c r="O476" s="1434"/>
      <c r="P476" s="1434"/>
      <c r="Q476" s="1434"/>
      <c r="R476" s="1434"/>
      <c r="S476" s="1434"/>
      <c r="T476" s="1434"/>
      <c r="U476" s="1434"/>
      <c r="V476" s="1435"/>
      <c r="W476" s="1401">
        <v>0</v>
      </c>
      <c r="X476" s="1402"/>
      <c r="Y476" s="140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33" t="s">
        <v>881</v>
      </c>
      <c r="E477" s="1434"/>
      <c r="F477" s="1434"/>
      <c r="G477" s="1434"/>
      <c r="H477" s="1434"/>
      <c r="I477" s="1434"/>
      <c r="J477" s="1434"/>
      <c r="K477" s="1434"/>
      <c r="L477" s="1434"/>
      <c r="M477" s="1434"/>
      <c r="N477" s="1434"/>
      <c r="O477" s="1434"/>
      <c r="P477" s="1434"/>
      <c r="Q477" s="1434"/>
      <c r="R477" s="1434"/>
      <c r="S477" s="1434"/>
      <c r="T477" s="1434"/>
      <c r="U477" s="1434"/>
      <c r="V477" s="1435"/>
      <c r="W477" s="1401">
        <v>0</v>
      </c>
      <c r="X477" s="1402"/>
      <c r="Y477" s="1403"/>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33" t="s">
        <v>696</v>
      </c>
      <c r="E478" s="1434"/>
      <c r="F478" s="1434"/>
      <c r="G478" s="1434"/>
      <c r="H478" s="1434"/>
      <c r="I478" s="1434"/>
      <c r="J478" s="1434"/>
      <c r="K478" s="1434"/>
      <c r="L478" s="1434"/>
      <c r="M478" s="1434"/>
      <c r="N478" s="1434"/>
      <c r="O478" s="1434"/>
      <c r="P478" s="1434"/>
      <c r="Q478" s="1434"/>
      <c r="R478" s="1434"/>
      <c r="S478" s="1434"/>
      <c r="T478" s="1434"/>
      <c r="U478" s="1434"/>
      <c r="V478" s="1435"/>
      <c r="W478" s="1401">
        <v>0</v>
      </c>
      <c r="X478" s="1402"/>
      <c r="Y478" s="1403"/>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433" t="s">
        <v>1011</v>
      </c>
      <c r="E479" s="1434"/>
      <c r="F479" s="1434"/>
      <c r="G479" s="1434"/>
      <c r="H479" s="1434"/>
      <c r="I479" s="1434"/>
      <c r="J479" s="1434"/>
      <c r="K479" s="1434"/>
      <c r="L479" s="1434"/>
      <c r="M479" s="1434"/>
      <c r="N479" s="1434"/>
      <c r="O479" s="1434"/>
      <c r="P479" s="1434"/>
      <c r="Q479" s="1434"/>
      <c r="R479" s="1434"/>
      <c r="S479" s="1434"/>
      <c r="T479" s="1434"/>
      <c r="U479" s="1434"/>
      <c r="V479" s="1435"/>
      <c r="W479" s="1401">
        <v>0</v>
      </c>
      <c r="X479" s="1402"/>
      <c r="Y479" s="1403"/>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04" t="s">
        <v>2145</v>
      </c>
      <c r="E480" s="1405"/>
      <c r="F480" s="1405"/>
      <c r="G480" s="1405"/>
      <c r="H480" s="1405"/>
      <c r="I480" s="1405"/>
      <c r="J480" s="1405"/>
      <c r="K480" s="1405"/>
      <c r="L480" s="1405"/>
      <c r="M480" s="1405"/>
      <c r="N480" s="1405"/>
      <c r="O480" s="1405"/>
      <c r="P480" s="1405"/>
      <c r="Q480" s="1405"/>
      <c r="R480" s="1405"/>
      <c r="S480" s="1405"/>
      <c r="T480" s="1405"/>
      <c r="U480" s="1405"/>
      <c r="V480" s="1406"/>
      <c r="W480" s="1401">
        <v>0</v>
      </c>
      <c r="X480" s="1402"/>
      <c r="Y480" s="1403"/>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04" t="s">
        <v>1642</v>
      </c>
      <c r="E481" s="1434"/>
      <c r="F481" s="1434"/>
      <c r="G481" s="1434"/>
      <c r="H481" s="1434"/>
      <c r="I481" s="1434"/>
      <c r="J481" s="1434"/>
      <c r="K481" s="1434"/>
      <c r="L481" s="1434"/>
      <c r="M481" s="1434"/>
      <c r="N481" s="1434"/>
      <c r="O481" s="1434"/>
      <c r="P481" s="1434"/>
      <c r="Q481" s="1434"/>
      <c r="R481" s="1434"/>
      <c r="S481" s="1434"/>
      <c r="T481" s="1434"/>
      <c r="U481" s="1434"/>
      <c r="V481" s="1435"/>
      <c r="W481" s="1401">
        <v>37</v>
      </c>
      <c r="X481" s="1402"/>
      <c r="Y481" s="1403"/>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43"/>
      <c r="H482" s="1844"/>
      <c r="I482" s="1844"/>
      <c r="J482" s="1844"/>
      <c r="K482" s="1844"/>
      <c r="L482" s="1844"/>
      <c r="M482" s="1844"/>
      <c r="N482" s="1844"/>
      <c r="O482" s="1844"/>
      <c r="P482" s="1844"/>
      <c r="Q482" s="1844"/>
      <c r="R482" s="1844"/>
      <c r="S482" s="1844"/>
      <c r="T482" s="1844"/>
      <c r="U482" s="1844"/>
      <c r="V482" s="1845"/>
      <c r="W482" s="1401">
        <v>0</v>
      </c>
      <c r="X482" s="1402"/>
      <c r="Y482" s="1403"/>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26" t="s">
        <v>810</v>
      </c>
      <c r="B488" s="1526"/>
      <c r="C488" s="1526"/>
      <c r="D488" s="1526"/>
      <c r="E488" s="1526"/>
      <c r="F488" s="1526"/>
      <c r="G488" s="1526"/>
      <c r="H488" s="1526"/>
      <c r="I488" s="1526"/>
      <c r="J488" s="1526"/>
      <c r="K488" s="1526"/>
      <c r="L488" s="1526"/>
      <c r="M488" s="1526"/>
      <c r="N488" s="1526"/>
      <c r="O488" s="1526"/>
      <c r="P488" s="1526"/>
      <c r="Q488" s="1526"/>
      <c r="R488" s="1526"/>
      <c r="S488" s="1526"/>
      <c r="T488" s="1526"/>
      <c r="U488" s="1526"/>
      <c r="V488" s="1526"/>
      <c r="W488" s="1526"/>
      <c r="X488" s="1526"/>
      <c r="Y488" s="1526"/>
      <c r="Z488" s="1526"/>
      <c r="AA488" s="1526"/>
      <c r="AB488" s="1526"/>
      <c r="AC488" s="1526"/>
      <c r="AD488" s="1526"/>
      <c r="AE488" s="1526"/>
      <c r="AF488" s="1526"/>
      <c r="AG488" s="1526"/>
      <c r="AH488" s="1526"/>
      <c r="AI488" s="1526"/>
      <c r="AJ488" s="1526"/>
      <c r="AK488" s="1526"/>
      <c r="AL488" s="1526"/>
      <c r="AM488" s="1526"/>
      <c r="AN488" s="1526"/>
      <c r="AO488" s="1526"/>
      <c r="AP488" s="1526"/>
      <c r="AQ488" s="1526"/>
      <c r="AR488" s="1526"/>
      <c r="AS488" s="1526"/>
      <c r="AT488" s="1526"/>
      <c r="AU488" s="95"/>
      <c r="AV488" s="95"/>
      <c r="AW488" s="95"/>
      <c r="AX488" s="95"/>
      <c r="AY488" s="95"/>
      <c r="AZ488" s="3"/>
      <c r="BB488" s="3"/>
      <c r="BC488" s="3"/>
    </row>
    <row r="489" spans="1:55" ht="12.95" customHeight="1">
      <c r="A489" s="1526"/>
      <c r="B489" s="1526"/>
      <c r="C489" s="1526"/>
      <c r="D489" s="1526"/>
      <c r="E489" s="1526"/>
      <c r="F489" s="1526"/>
      <c r="G489" s="1526"/>
      <c r="H489" s="1526"/>
      <c r="I489" s="1526"/>
      <c r="J489" s="1526"/>
      <c r="K489" s="1526"/>
      <c r="L489" s="1526"/>
      <c r="M489" s="1526"/>
      <c r="N489" s="1526"/>
      <c r="O489" s="1526"/>
      <c r="P489" s="1526"/>
      <c r="Q489" s="1526"/>
      <c r="R489" s="1526"/>
      <c r="S489" s="1526"/>
      <c r="T489" s="1526"/>
      <c r="U489" s="1526"/>
      <c r="V489" s="1526"/>
      <c r="W489" s="1526"/>
      <c r="X489" s="1526"/>
      <c r="Y489" s="1526"/>
      <c r="Z489" s="1526"/>
      <c r="AA489" s="1526"/>
      <c r="AB489" s="1526"/>
      <c r="AC489" s="1526"/>
      <c r="AD489" s="1526"/>
      <c r="AE489" s="1526"/>
      <c r="AF489" s="1526"/>
      <c r="AG489" s="1526"/>
      <c r="AH489" s="1526"/>
      <c r="AI489" s="1526"/>
      <c r="AJ489" s="1526"/>
      <c r="AK489" s="1526"/>
      <c r="AL489" s="1526"/>
      <c r="AM489" s="1526"/>
      <c r="AN489" s="1526"/>
      <c r="AO489" s="1526"/>
      <c r="AP489" s="1526"/>
      <c r="AQ489" s="1526"/>
      <c r="AR489" s="1526"/>
      <c r="AS489" s="1526"/>
      <c r="AT489" s="1526"/>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80" t="s">
        <v>393</v>
      </c>
      <c r="R493" s="1481"/>
      <c r="S493" s="1481"/>
      <c r="T493" s="1481"/>
      <c r="U493" s="1481"/>
      <c r="V493" s="1481"/>
      <c r="W493" s="1481"/>
      <c r="X493" s="1481"/>
      <c r="Y493" s="1481"/>
      <c r="Z493" s="1481"/>
      <c r="AA493" s="1481"/>
      <c r="AB493" s="1481"/>
      <c r="AC493" s="1481"/>
      <c r="AD493" s="1481"/>
      <c r="AE493" s="1481"/>
      <c r="AF493" s="1481"/>
      <c r="AG493" s="1481"/>
      <c r="AH493" s="1481"/>
      <c r="AI493" s="1481"/>
      <c r="AJ493" s="1481"/>
      <c r="AK493" s="1565"/>
      <c r="AZ493" s="3"/>
      <c r="BB493" s="3"/>
      <c r="BC493" s="3"/>
    </row>
    <row r="494" spans="1:55" ht="12.95" customHeight="1">
      <c r="B494" s="45" t="s">
        <v>394</v>
      </c>
      <c r="C494" s="5"/>
      <c r="D494" s="5"/>
      <c r="E494" s="5"/>
      <c r="F494" s="5"/>
      <c r="G494" s="5"/>
      <c r="H494" s="5"/>
      <c r="I494" s="5"/>
      <c r="J494" s="5"/>
      <c r="K494" s="5"/>
      <c r="L494" s="5"/>
      <c r="M494" s="5"/>
      <c r="N494" s="5"/>
      <c r="O494" s="5"/>
      <c r="P494" s="5"/>
      <c r="Q494" s="1469" t="s">
        <v>2715</v>
      </c>
      <c r="R494" s="1470"/>
      <c r="S494" s="1470"/>
      <c r="T494" s="1470"/>
      <c r="U494" s="1470"/>
      <c r="V494" s="1470"/>
      <c r="W494" s="1470"/>
      <c r="X494" s="1470"/>
      <c r="Y494" s="1470"/>
      <c r="Z494" s="1470"/>
      <c r="AA494" s="1470"/>
      <c r="AB494" s="1470"/>
      <c r="AC494" s="1470"/>
      <c r="AD494" s="1470"/>
      <c r="AE494" s="1470"/>
      <c r="AF494" s="1470"/>
      <c r="AG494" s="1470"/>
      <c r="AH494" s="1470"/>
      <c r="AI494" s="1470"/>
      <c r="AJ494" s="1470"/>
      <c r="AK494" s="1471"/>
      <c r="AZ494" s="3"/>
      <c r="BB494" s="3"/>
      <c r="BC494" s="3"/>
    </row>
    <row r="495" spans="1:55" ht="12.95" customHeight="1">
      <c r="B495" s="45" t="s">
        <v>395</v>
      </c>
      <c r="C495" s="5"/>
      <c r="D495" s="5"/>
      <c r="E495" s="5"/>
      <c r="F495" s="5"/>
      <c r="G495" s="5"/>
      <c r="H495" s="5"/>
      <c r="I495" s="5"/>
      <c r="J495" s="5"/>
      <c r="K495" s="5"/>
      <c r="L495" s="5"/>
      <c r="M495" s="5"/>
      <c r="N495" s="5"/>
      <c r="O495" s="5"/>
      <c r="P495" s="5"/>
      <c r="Q495" s="1469" t="s">
        <v>2716</v>
      </c>
      <c r="R495" s="1470"/>
      <c r="S495" s="1470"/>
      <c r="T495" s="1470"/>
      <c r="U495" s="1470"/>
      <c r="V495" s="1470"/>
      <c r="W495" s="1470"/>
      <c r="X495" s="1470"/>
      <c r="Y495" s="1470"/>
      <c r="Z495" s="1470"/>
      <c r="AA495" s="1470"/>
      <c r="AB495" s="1470"/>
      <c r="AC495" s="1470"/>
      <c r="AD495" s="1470"/>
      <c r="AE495" s="1470"/>
      <c r="AF495" s="1470"/>
      <c r="AG495" s="1470"/>
      <c r="AH495" s="1470"/>
      <c r="AI495" s="1470"/>
      <c r="AJ495" s="1470"/>
      <c r="AK495" s="1471"/>
      <c r="AZ495" s="3"/>
      <c r="BB495" s="3"/>
      <c r="BC495" s="3"/>
    </row>
    <row r="496" spans="1:55" ht="12.95" customHeight="1">
      <c r="B496" s="45" t="s">
        <v>396</v>
      </c>
      <c r="C496" s="5"/>
      <c r="D496" s="5"/>
      <c r="E496" s="5"/>
      <c r="F496" s="5"/>
      <c r="G496" s="5"/>
      <c r="H496" s="5"/>
      <c r="I496" s="5"/>
      <c r="J496" s="5"/>
      <c r="K496" s="5"/>
      <c r="L496" s="5"/>
      <c r="M496" s="5"/>
      <c r="N496" s="5"/>
      <c r="O496" s="5"/>
      <c r="P496" s="5"/>
      <c r="Q496" s="1469" t="s">
        <v>2717</v>
      </c>
      <c r="R496" s="1470"/>
      <c r="S496" s="1470"/>
      <c r="T496" s="1470"/>
      <c r="U496" s="1470"/>
      <c r="V496" s="1470"/>
      <c r="W496" s="1470"/>
      <c r="X496" s="1470"/>
      <c r="Y496" s="1470"/>
      <c r="Z496" s="1470"/>
      <c r="AA496" s="1470"/>
      <c r="AB496" s="1470"/>
      <c r="AC496" s="1470"/>
      <c r="AD496" s="1470"/>
      <c r="AE496" s="1470"/>
      <c r="AF496" s="1470"/>
      <c r="AG496" s="1470"/>
      <c r="AH496" s="1470"/>
      <c r="AI496" s="1470"/>
      <c r="AJ496" s="1470"/>
      <c r="AK496" s="1471"/>
      <c r="AZ496" s="3"/>
      <c r="BA496" s="3"/>
      <c r="BB496" s="3"/>
      <c r="BC496" s="3"/>
    </row>
    <row r="497" spans="1:66" ht="12.95" customHeight="1">
      <c r="B497" s="1459" t="s">
        <v>397</v>
      </c>
      <c r="C497" s="1460"/>
      <c r="D497" s="1460"/>
      <c r="E497" s="1460"/>
      <c r="F497" s="1460"/>
      <c r="G497" s="1460"/>
      <c r="H497" s="1460"/>
      <c r="I497" s="1460"/>
      <c r="J497" s="1460"/>
      <c r="K497" s="1460"/>
      <c r="L497" s="1460"/>
      <c r="M497" s="1460"/>
      <c r="N497" s="1460"/>
      <c r="O497" s="1460"/>
      <c r="P497" s="1461"/>
      <c r="Q497" s="1465" t="s">
        <v>669</v>
      </c>
      <c r="R497" s="1466"/>
      <c r="S497" s="1575" t="s">
        <v>166</v>
      </c>
      <c r="T497" s="1576"/>
      <c r="U497" s="1576"/>
      <c r="V497" s="1576"/>
      <c r="W497" s="1576"/>
      <c r="X497" s="1576"/>
      <c r="Y497" s="1576"/>
      <c r="Z497" s="1576"/>
      <c r="AA497" s="1576"/>
      <c r="AB497" s="1576"/>
      <c r="AC497" s="1576"/>
      <c r="AD497" s="1576"/>
      <c r="AE497" s="1576"/>
      <c r="AF497" s="1576"/>
      <c r="AG497" s="1576"/>
      <c r="AH497" s="1576"/>
      <c r="AI497" s="1576"/>
      <c r="AJ497" s="1576"/>
      <c r="AK497" s="1577"/>
      <c r="AZ497" s="3"/>
      <c r="BA497" s="3"/>
      <c r="BB497" s="3"/>
      <c r="BC497" s="3"/>
    </row>
    <row r="498" spans="1:66" ht="12.95" customHeight="1">
      <c r="B498" s="1462"/>
      <c r="C498" s="1463"/>
      <c r="D498" s="1463"/>
      <c r="E498" s="1463"/>
      <c r="F498" s="1463"/>
      <c r="G498" s="1463"/>
      <c r="H498" s="1463"/>
      <c r="I498" s="1463"/>
      <c r="J498" s="1463"/>
      <c r="K498" s="1463"/>
      <c r="L498" s="1463"/>
      <c r="M498" s="1463"/>
      <c r="N498" s="1463"/>
      <c r="O498" s="1463"/>
      <c r="P498" s="1464"/>
      <c r="Q498" s="1467"/>
      <c r="R498" s="1468"/>
      <c r="S498" s="1578"/>
      <c r="T498" s="1521"/>
      <c r="U498" s="1521"/>
      <c r="V498" s="1521"/>
      <c r="W498" s="1521"/>
      <c r="X498" s="1521"/>
      <c r="Y498" s="1521"/>
      <c r="Z498" s="1521"/>
      <c r="AA498" s="1521"/>
      <c r="AB498" s="1521"/>
      <c r="AC498" s="1521"/>
      <c r="AD498" s="1521"/>
      <c r="AE498" s="1521"/>
      <c r="AF498" s="1521"/>
      <c r="AG498" s="1521"/>
      <c r="AH498" s="1521"/>
      <c r="AI498" s="1521"/>
      <c r="AJ498" s="1521"/>
      <c r="AK498" s="1579"/>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474" t="s">
        <v>669</v>
      </c>
      <c r="R499" s="1475"/>
      <c r="S499" s="1475"/>
      <c r="T499" s="1475"/>
      <c r="U499" s="1475"/>
      <c r="V499" s="1475"/>
      <c r="W499" s="1475"/>
      <c r="X499" s="1475"/>
      <c r="Y499" s="1475"/>
      <c r="Z499" s="1475"/>
      <c r="AA499" s="1475"/>
      <c r="AB499" s="1475"/>
      <c r="AC499" s="1475"/>
      <c r="AD499" s="1475"/>
      <c r="AE499" s="1475"/>
      <c r="AF499" s="1475"/>
      <c r="AG499" s="1475"/>
      <c r="AH499" s="1475"/>
      <c r="AI499" s="1475"/>
      <c r="AJ499" s="1475"/>
      <c r="AK499" s="1476"/>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69" t="s">
        <v>2750</v>
      </c>
      <c r="R500" s="1470"/>
      <c r="S500" s="1470"/>
      <c r="T500" s="1470"/>
      <c r="U500" s="1470"/>
      <c r="V500" s="1470"/>
      <c r="W500" s="1470"/>
      <c r="X500" s="1470"/>
      <c r="Y500" s="1470"/>
      <c r="Z500" s="1470"/>
      <c r="AA500" s="1470"/>
      <c r="AB500" s="1470"/>
      <c r="AC500" s="1470"/>
      <c r="AD500" s="1470"/>
      <c r="AE500" s="1470"/>
      <c r="AF500" s="1470"/>
      <c r="AG500" s="1470"/>
      <c r="AH500" s="1470"/>
      <c r="AI500" s="1470"/>
      <c r="AJ500" s="1470"/>
      <c r="AK500" s="1471"/>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69">
        <v>0</v>
      </c>
      <c r="R501" s="1470"/>
      <c r="S501" s="1470"/>
      <c r="T501" s="1470"/>
      <c r="U501" s="1470"/>
      <c r="V501" s="1470"/>
      <c r="W501" s="1470"/>
      <c r="X501" s="1470"/>
      <c r="Y501" s="1470"/>
      <c r="Z501" s="1470"/>
      <c r="AA501" s="1470"/>
      <c r="AB501" s="1470"/>
      <c r="AC501" s="1470"/>
      <c r="AD501" s="1470"/>
      <c r="AE501" s="1470"/>
      <c r="AF501" s="1470"/>
      <c r="AG501" s="1470"/>
      <c r="AH501" s="1470"/>
      <c r="AI501" s="1470"/>
      <c r="AJ501" s="1470"/>
      <c r="AK501" s="1471"/>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469">
        <v>0</v>
      </c>
      <c r="R502" s="1470"/>
      <c r="S502" s="1470"/>
      <c r="T502" s="1470"/>
      <c r="U502" s="1470"/>
      <c r="V502" s="1470"/>
      <c r="W502" s="1470"/>
      <c r="X502" s="1470"/>
      <c r="Y502" s="1470"/>
      <c r="Z502" s="1470"/>
      <c r="AA502" s="1470"/>
      <c r="AB502" s="1470"/>
      <c r="AC502" s="1470"/>
      <c r="AD502" s="1470"/>
      <c r="AE502" s="1470"/>
      <c r="AF502" s="1470"/>
      <c r="AG502" s="1470"/>
      <c r="AH502" s="1470"/>
      <c r="AI502" s="1470"/>
      <c r="AJ502" s="1470"/>
      <c r="AK502" s="1471"/>
      <c r="AZ502" s="3"/>
      <c r="BA502" s="3"/>
      <c r="BB502" s="3"/>
      <c r="BC502" s="3"/>
    </row>
    <row r="503" spans="1:66" ht="12.95" customHeight="1">
      <c r="B503" s="121" t="s">
        <v>1657</v>
      </c>
      <c r="C503" s="5"/>
      <c r="D503" s="5"/>
      <c r="E503" s="5"/>
      <c r="F503" s="5"/>
      <c r="G503" s="5"/>
      <c r="H503" s="5"/>
      <c r="I503" s="5"/>
      <c r="J503" s="5"/>
      <c r="K503" s="5"/>
      <c r="L503" s="5"/>
      <c r="M503" s="1477">
        <v>0</v>
      </c>
      <c r="N503" s="1478"/>
      <c r="O503" s="1478"/>
      <c r="P503" s="1479"/>
      <c r="Q503" s="121" t="s">
        <v>1658</v>
      </c>
      <c r="R503" s="5"/>
      <c r="S503" s="5"/>
      <c r="T503" s="5"/>
      <c r="U503" s="5"/>
      <c r="V503" s="5"/>
      <c r="W503" s="5"/>
      <c r="X503" s="5"/>
      <c r="Y503" s="5"/>
      <c r="Z503" s="5"/>
      <c r="AA503" s="5"/>
      <c r="AB503" s="5"/>
      <c r="AC503" s="5"/>
      <c r="AD503" s="5"/>
      <c r="AE503" s="5"/>
      <c r="AF503" s="5"/>
      <c r="AG503" s="5"/>
      <c r="AH503" s="1477">
        <v>0</v>
      </c>
      <c r="AI503" s="1478"/>
      <c r="AJ503" s="1478"/>
      <c r="AK503" s="1479"/>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80" t="s">
        <v>401</v>
      </c>
      <c r="AD507" s="1481"/>
      <c r="AE507" s="1481"/>
      <c r="AF507" s="1481"/>
      <c r="AG507" s="1481"/>
      <c r="AH507" s="1481"/>
      <c r="AI507" s="1481"/>
      <c r="AJ507" s="1481"/>
      <c r="AK507" s="1565"/>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80" t="s">
        <v>402</v>
      </c>
      <c r="AD508" s="1481"/>
      <c r="AE508" s="1481"/>
      <c r="AF508" s="1481"/>
      <c r="AG508" s="50" t="s">
        <v>403</v>
      </c>
      <c r="AH508" s="1481" t="s">
        <v>404</v>
      </c>
      <c r="AI508" s="1481"/>
      <c r="AJ508" s="1481"/>
      <c r="AK508" s="1565"/>
      <c r="AZ508" s="3"/>
      <c r="BA508" s="3"/>
      <c r="BB508" s="3"/>
      <c r="BC508" s="3"/>
      <c r="BD508" s="3"/>
      <c r="BE508" s="3"/>
      <c r="BF508" s="3"/>
      <c r="BG508" s="3"/>
      <c r="BH508" s="3"/>
      <c r="BI508" s="3"/>
      <c r="BJ508" s="3"/>
      <c r="BK508" s="3"/>
      <c r="BL508" s="3"/>
      <c r="BM508" s="3"/>
      <c r="BN508" s="3"/>
    </row>
    <row r="509" spans="1:66" ht="12.95" customHeight="1">
      <c r="B509" s="1407" t="s">
        <v>405</v>
      </c>
      <c r="C509" s="1408"/>
      <c r="D509" s="1408"/>
      <c r="E509" s="1408"/>
      <c r="F509" s="1408"/>
      <c r="G509" s="1408"/>
      <c r="H509" s="1409"/>
      <c r="I509" s="42" t="s">
        <v>406</v>
      </c>
      <c r="J509" s="42"/>
      <c r="K509" s="42"/>
      <c r="L509" s="42"/>
      <c r="M509" s="42"/>
      <c r="N509" s="42"/>
      <c r="O509" s="42"/>
      <c r="P509" s="42"/>
      <c r="Q509" s="42"/>
      <c r="R509" s="42"/>
      <c r="S509" s="42"/>
      <c r="T509" s="42"/>
      <c r="U509" s="42"/>
      <c r="V509" s="42"/>
      <c r="W509" s="42"/>
      <c r="AC509" s="1394" t="s">
        <v>591</v>
      </c>
      <c r="AD509" s="1374"/>
      <c r="AE509" s="1374"/>
      <c r="AF509" s="1374"/>
      <c r="AG509" s="13" t="s">
        <v>403</v>
      </c>
      <c r="AH509" s="1396">
        <v>0</v>
      </c>
      <c r="AI509" s="1396"/>
      <c r="AJ509" s="1396"/>
      <c r="AK509" s="1397"/>
      <c r="AZ509" s="3"/>
      <c r="BA509" s="3"/>
      <c r="BB509" s="3"/>
      <c r="BC509" s="3"/>
      <c r="BD509" s="3"/>
      <c r="BE509" s="3"/>
      <c r="BF509" s="3"/>
      <c r="BG509" s="3"/>
      <c r="BH509" s="3"/>
      <c r="BI509" s="3"/>
      <c r="BJ509" s="3"/>
      <c r="BK509" s="3"/>
      <c r="BL509" s="3"/>
      <c r="BM509" s="3"/>
      <c r="BN509" s="3"/>
    </row>
    <row r="510" spans="1:66" ht="12.95" customHeight="1">
      <c r="B510" s="1410"/>
      <c r="C510" s="1411"/>
      <c r="D510" s="1411"/>
      <c r="E510" s="1411"/>
      <c r="F510" s="1411"/>
      <c r="G510" s="1411"/>
      <c r="H510" s="1412"/>
      <c r="I510" s="48" t="s">
        <v>407</v>
      </c>
      <c r="J510" s="48"/>
      <c r="K510" s="48"/>
      <c r="L510" s="48"/>
      <c r="M510" s="48"/>
      <c r="N510" s="48"/>
      <c r="O510" s="48"/>
      <c r="P510" s="48"/>
      <c r="Q510" s="48"/>
      <c r="R510" s="48"/>
      <c r="S510" s="48"/>
      <c r="T510" s="48"/>
      <c r="U510" s="48"/>
      <c r="V510" s="48"/>
      <c r="W510" s="48"/>
      <c r="X510" s="48"/>
      <c r="Y510" s="48"/>
      <c r="Z510" s="48"/>
      <c r="AA510" s="48"/>
      <c r="AB510" s="48"/>
      <c r="AC510" s="1394">
        <v>12</v>
      </c>
      <c r="AD510" s="1374"/>
      <c r="AE510" s="1374"/>
      <c r="AF510" s="1374"/>
      <c r="AG510" s="38" t="s">
        <v>403</v>
      </c>
      <c r="AH510" s="1396">
        <v>2025</v>
      </c>
      <c r="AI510" s="1396"/>
      <c r="AJ510" s="1396"/>
      <c r="AK510" s="1397"/>
      <c r="AZ510" s="3"/>
      <c r="BA510" s="3"/>
      <c r="BB510" s="3"/>
      <c r="BC510" s="3"/>
      <c r="BD510" s="3"/>
      <c r="BE510" s="3"/>
      <c r="BF510" s="3"/>
      <c r="BG510" s="3"/>
      <c r="BH510" s="3"/>
      <c r="BI510" s="3"/>
      <c r="BJ510" s="3"/>
      <c r="BK510" s="3"/>
      <c r="BL510" s="3"/>
      <c r="BM510" s="3"/>
      <c r="BN510" s="3"/>
    </row>
    <row r="511" spans="1:66" ht="12.95" customHeight="1">
      <c r="B511" s="1407" t="s">
        <v>408</v>
      </c>
      <c r="C511" s="1408"/>
      <c r="D511" s="1408"/>
      <c r="E511" s="1408"/>
      <c r="F511" s="1408"/>
      <c r="G511" s="1408"/>
      <c r="H511" s="1409"/>
      <c r="I511" s="42" t="s">
        <v>409</v>
      </c>
      <c r="J511" s="42"/>
      <c r="K511" s="42"/>
      <c r="L511" s="42"/>
      <c r="M511" s="42"/>
      <c r="N511" s="42"/>
      <c r="O511" s="42"/>
      <c r="P511" s="42"/>
      <c r="Q511" s="42"/>
      <c r="R511" s="42"/>
      <c r="S511" s="42"/>
      <c r="T511" s="42"/>
      <c r="U511" s="42"/>
      <c r="V511" s="42"/>
      <c r="W511" s="42"/>
      <c r="AC511" s="1394" t="s">
        <v>591</v>
      </c>
      <c r="AD511" s="1374"/>
      <c r="AE511" s="1374"/>
      <c r="AF511" s="1374"/>
      <c r="AG511" s="13" t="s">
        <v>403</v>
      </c>
      <c r="AH511" s="1396"/>
      <c r="AI511" s="1396"/>
      <c r="AJ511" s="1396"/>
      <c r="AK511" s="1397"/>
      <c r="AZ511" s="3"/>
      <c r="BA511" s="3"/>
      <c r="BB511" s="3"/>
      <c r="BC511" s="3"/>
      <c r="BD511" s="3"/>
      <c r="BE511" s="3"/>
      <c r="BF511" s="3"/>
      <c r="BG511" s="3"/>
      <c r="BH511" s="3"/>
      <c r="BI511" s="3"/>
      <c r="BJ511" s="3"/>
      <c r="BK511" s="3"/>
      <c r="BL511" s="3"/>
      <c r="BM511" s="3"/>
      <c r="BN511" s="3"/>
    </row>
    <row r="512" spans="1:66" ht="12.95" customHeight="1">
      <c r="B512" s="1410"/>
      <c r="C512" s="1411"/>
      <c r="D512" s="1411"/>
      <c r="E512" s="1411"/>
      <c r="F512" s="1411"/>
      <c r="G512" s="1411"/>
      <c r="H512" s="1412"/>
      <c r="I512" t="s">
        <v>410</v>
      </c>
      <c r="AC512" s="1394" t="s">
        <v>591</v>
      </c>
      <c r="AD512" s="1374"/>
      <c r="AE512" s="1374"/>
      <c r="AF512" s="1374"/>
      <c r="AG512" s="13" t="s">
        <v>403</v>
      </c>
      <c r="AH512" s="1396"/>
      <c r="AI512" s="1396"/>
      <c r="AJ512" s="1396"/>
      <c r="AK512" s="1397"/>
      <c r="AZ512" s="3"/>
      <c r="BA512" s="3"/>
      <c r="BB512" s="3"/>
      <c r="BC512" s="3"/>
      <c r="BD512" s="3"/>
      <c r="BE512" s="3"/>
      <c r="BF512" s="3"/>
      <c r="BG512" s="3"/>
      <c r="BH512" s="3"/>
      <c r="BI512" s="3"/>
      <c r="BJ512" s="3"/>
      <c r="BK512" s="3"/>
      <c r="BL512" s="3"/>
      <c r="BM512" s="3"/>
      <c r="BN512" s="3"/>
    </row>
    <row r="513" spans="2:66" ht="12.95" customHeight="1">
      <c r="B513" s="1410"/>
      <c r="C513" s="1411"/>
      <c r="D513" s="1411"/>
      <c r="E513" s="1411"/>
      <c r="F513" s="1411"/>
      <c r="G513" s="1411"/>
      <c r="H513" s="1412"/>
      <c r="I513" t="s">
        <v>411</v>
      </c>
      <c r="AC513" s="1394" t="s">
        <v>591</v>
      </c>
      <c r="AD513" s="1374"/>
      <c r="AE513" s="1374"/>
      <c r="AF513" s="1374"/>
      <c r="AG513" s="13" t="s">
        <v>403</v>
      </c>
      <c r="AH513" s="1396"/>
      <c r="AI513" s="1396"/>
      <c r="AJ513" s="1396"/>
      <c r="AK513" s="1397"/>
      <c r="AZ513" s="3"/>
      <c r="BA513" s="3"/>
      <c r="BB513" s="3"/>
      <c r="BC513" s="3"/>
      <c r="BD513" s="3"/>
      <c r="BE513" s="3"/>
      <c r="BF513" s="3"/>
      <c r="BG513" s="3"/>
      <c r="BH513" s="3"/>
      <c r="BI513" s="3"/>
      <c r="BJ513" s="3"/>
      <c r="BK513" s="3"/>
      <c r="BL513" s="3"/>
      <c r="BM513" s="3"/>
      <c r="BN513" s="3"/>
    </row>
    <row r="514" spans="2:66" ht="12.95" customHeight="1">
      <c r="B514" s="1410"/>
      <c r="C514" s="1411"/>
      <c r="D514" s="1411"/>
      <c r="E514" s="1411"/>
      <c r="F514" s="1411"/>
      <c r="G514" s="1411"/>
      <c r="H514" s="1412"/>
      <c r="I514" t="s">
        <v>412</v>
      </c>
      <c r="AC514" s="1394">
        <v>10</v>
      </c>
      <c r="AD514" s="1374"/>
      <c r="AE514" s="1374"/>
      <c r="AF514" s="1374"/>
      <c r="AG514" s="13" t="s">
        <v>403</v>
      </c>
      <c r="AH514" s="1396">
        <v>2026</v>
      </c>
      <c r="AI514" s="1396"/>
      <c r="AJ514" s="1396"/>
      <c r="AK514" s="1397"/>
      <c r="AZ514" s="3"/>
      <c r="BA514" s="3"/>
      <c r="BB514" s="3"/>
      <c r="BC514" s="3"/>
      <c r="BD514" s="3"/>
      <c r="BE514" s="3"/>
      <c r="BF514" s="3"/>
      <c r="BG514" s="3"/>
      <c r="BH514" s="3"/>
      <c r="BI514" s="3"/>
      <c r="BJ514" s="3"/>
      <c r="BK514" s="3"/>
      <c r="BL514" s="3"/>
      <c r="BM514" s="3"/>
      <c r="BN514" s="3"/>
    </row>
    <row r="515" spans="2:66" ht="12.95" customHeight="1">
      <c r="B515" s="1410"/>
      <c r="C515" s="1411"/>
      <c r="D515" s="1411"/>
      <c r="E515" s="1411"/>
      <c r="F515" s="1411"/>
      <c r="G515" s="1411"/>
      <c r="H515" s="1412"/>
      <c r="I515" s="3" t="s">
        <v>413</v>
      </c>
      <c r="AC515" s="1362">
        <v>10</v>
      </c>
      <c r="AD515" s="1363"/>
      <c r="AE515" s="1363"/>
      <c r="AF515" s="1363"/>
      <c r="AG515" s="13" t="s">
        <v>403</v>
      </c>
      <c r="AH515" s="1396">
        <v>2026</v>
      </c>
      <c r="AI515" s="1396"/>
      <c r="AJ515" s="1396"/>
      <c r="AK515" s="1397"/>
      <c r="AZ515" s="3"/>
      <c r="BA515" s="3"/>
      <c r="BB515" s="3"/>
      <c r="BC515" s="3"/>
      <c r="BD515" s="3"/>
      <c r="BE515" s="3"/>
      <c r="BF515" s="3"/>
      <c r="BG515" s="3"/>
      <c r="BH515" s="3"/>
      <c r="BI515" s="3"/>
      <c r="BJ515" s="3"/>
      <c r="BK515" s="3"/>
      <c r="BL515" s="3"/>
      <c r="BM515" s="3"/>
      <c r="BN515" s="3"/>
    </row>
    <row r="516" spans="2:66" ht="12.95" customHeight="1">
      <c r="B516" s="1410"/>
      <c r="C516" s="1411"/>
      <c r="D516" s="1411"/>
      <c r="E516" s="1411"/>
      <c r="F516" s="1411"/>
      <c r="G516" s="1411"/>
      <c r="H516" s="1412"/>
      <c r="I516" s="892" t="s">
        <v>170</v>
      </c>
      <c r="J516" s="48"/>
      <c r="K516" s="48"/>
      <c r="L516" s="1447" t="s">
        <v>334</v>
      </c>
      <c r="M516" s="1448"/>
      <c r="N516" s="1448"/>
      <c r="O516" s="1448"/>
      <c r="P516" s="1448"/>
      <c r="Q516" s="1448"/>
      <c r="R516" s="1448"/>
      <c r="S516" s="1448"/>
      <c r="T516" s="1448"/>
      <c r="U516" s="1448"/>
      <c r="V516" s="1448"/>
      <c r="W516" s="1448"/>
      <c r="X516" s="1448"/>
      <c r="Y516" s="1448"/>
      <c r="Z516" s="1448"/>
      <c r="AA516" s="1448"/>
      <c r="AB516" s="1472"/>
      <c r="AC516" s="1394" t="s">
        <v>591</v>
      </c>
      <c r="AD516" s="1374"/>
      <c r="AE516" s="1374"/>
      <c r="AF516" s="1374"/>
      <c r="AG516" s="38" t="s">
        <v>403</v>
      </c>
      <c r="AH516" s="1396"/>
      <c r="AI516" s="1396"/>
      <c r="AJ516" s="1396"/>
      <c r="AK516" s="1397"/>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500" t="s">
        <v>669</v>
      </c>
      <c r="AD517" s="1500"/>
      <c r="AE517" s="1500"/>
      <c r="AF517" s="1500"/>
      <c r="AG517" s="13"/>
      <c r="AH517" s="1416"/>
      <c r="AI517" s="1416"/>
      <c r="AJ517" s="1416"/>
      <c r="AK517" s="1417"/>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362"/>
      <c r="AD518" s="1363"/>
      <c r="AE518" s="1363"/>
      <c r="AF518" s="1364"/>
      <c r="AG518" s="13"/>
      <c r="AH518" s="1416"/>
      <c r="AI518" s="1416"/>
      <c r="AJ518" s="1416"/>
      <c r="AK518" s="1417"/>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56">
        <v>0.5</v>
      </c>
      <c r="AD520" s="1457"/>
      <c r="AE520" s="1457"/>
      <c r="AF520" s="1458"/>
      <c r="AG520" s="38"/>
      <c r="AH520" s="1582"/>
      <c r="AI520" s="1582"/>
      <c r="AJ520" s="1582"/>
      <c r="AK520" s="1583"/>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47" t="s">
        <v>402</v>
      </c>
      <c r="AD521" s="1427"/>
      <c r="AE521" s="1427"/>
      <c r="AF521" s="1427"/>
      <c r="AG521" s="38" t="s">
        <v>403</v>
      </c>
      <c r="AH521" s="1427" t="s">
        <v>404</v>
      </c>
      <c r="AI521" s="1427"/>
      <c r="AJ521" s="1427"/>
      <c r="AK521" s="1428"/>
      <c r="AZ521" s="3"/>
      <c r="BA521" s="3"/>
      <c r="BB521" s="3"/>
      <c r="BC521" s="3"/>
      <c r="BD521" s="3"/>
      <c r="BE521" s="3"/>
      <c r="BF521" s="3"/>
      <c r="BG521" s="3"/>
      <c r="BH521" s="3"/>
      <c r="BI521" s="3"/>
      <c r="BJ521" s="3"/>
      <c r="BK521" s="3"/>
      <c r="BL521" s="3"/>
      <c r="BM521" s="3"/>
      <c r="BN521" s="3" t="s">
        <v>2060</v>
      </c>
    </row>
    <row r="522" spans="2:66" ht="12.95" customHeight="1">
      <c r="B522" s="1407" t="s">
        <v>414</v>
      </c>
      <c r="C522" s="1408"/>
      <c r="D522" s="1408"/>
      <c r="E522" s="1408"/>
      <c r="F522" s="1408"/>
      <c r="G522" s="1408"/>
      <c r="H522" s="1409"/>
      <c r="I522" s="42" t="s">
        <v>415</v>
      </c>
      <c r="J522" s="42"/>
      <c r="K522" s="42"/>
      <c r="L522" s="42"/>
      <c r="M522" s="42"/>
      <c r="N522" s="42"/>
      <c r="O522" s="42"/>
      <c r="P522" s="42"/>
      <c r="Q522" s="42"/>
      <c r="R522" s="42"/>
      <c r="S522" s="42"/>
      <c r="T522" s="42"/>
      <c r="U522" s="42"/>
      <c r="V522" s="42"/>
      <c r="W522" s="42"/>
      <c r="AC522" s="1394">
        <v>1</v>
      </c>
      <c r="AD522" s="1374"/>
      <c r="AE522" s="1374"/>
      <c r="AF522" s="1374"/>
      <c r="AG522" s="13" t="s">
        <v>403</v>
      </c>
      <c r="AH522" s="1396">
        <v>2026</v>
      </c>
      <c r="AI522" s="1396"/>
      <c r="AJ522" s="1396"/>
      <c r="AK522" s="1397"/>
      <c r="AZ522" s="3"/>
      <c r="BA522" s="3"/>
      <c r="BB522" s="3"/>
      <c r="BC522" s="3"/>
      <c r="BD522" s="3"/>
      <c r="BE522" s="3"/>
      <c r="BF522" s="3"/>
      <c r="BG522" s="3"/>
      <c r="BH522" s="3"/>
      <c r="BI522" s="3"/>
      <c r="BJ522" s="3"/>
      <c r="BK522" s="3"/>
      <c r="BL522" s="3"/>
      <c r="BM522" s="3"/>
      <c r="BN522" s="3" t="s">
        <v>2061</v>
      </c>
    </row>
    <row r="523" spans="2:66" ht="12.95" customHeight="1">
      <c r="B523" s="1410"/>
      <c r="C523" s="1411"/>
      <c r="D523" s="1411"/>
      <c r="E523" s="1411"/>
      <c r="F523" s="1411"/>
      <c r="G523" s="1411"/>
      <c r="H523" s="1412"/>
      <c r="I523" t="s">
        <v>416</v>
      </c>
      <c r="AC523" s="1394">
        <v>1</v>
      </c>
      <c r="AD523" s="1374"/>
      <c r="AE523" s="1374"/>
      <c r="AF523" s="1374"/>
      <c r="AG523" s="13" t="s">
        <v>403</v>
      </c>
      <c r="AH523" s="1396">
        <v>2026</v>
      </c>
      <c r="AI523" s="1396"/>
      <c r="AJ523" s="1396"/>
      <c r="AK523" s="1397"/>
      <c r="AZ523" s="3"/>
      <c r="BA523" s="3"/>
      <c r="BB523" s="3"/>
      <c r="BC523" s="3"/>
      <c r="BD523" s="3"/>
      <c r="BE523" s="3"/>
      <c r="BF523" s="3"/>
      <c r="BG523" s="3"/>
      <c r="BH523" s="3"/>
      <c r="BI523" s="3"/>
      <c r="BJ523" s="3"/>
      <c r="BK523" s="3"/>
      <c r="BL523" s="3"/>
      <c r="BM523" s="3"/>
      <c r="BN523" s="3" t="s">
        <v>2062</v>
      </c>
    </row>
    <row r="524" spans="2:66" ht="12.95" customHeight="1">
      <c r="B524" s="1410"/>
      <c r="C524" s="1411"/>
      <c r="D524" s="1411"/>
      <c r="E524" s="1411"/>
      <c r="F524" s="1411"/>
      <c r="G524" s="1411"/>
      <c r="H524" s="1412"/>
      <c r="I524" s="48" t="s">
        <v>417</v>
      </c>
      <c r="J524" s="48"/>
      <c r="K524" s="48"/>
      <c r="L524" s="48"/>
      <c r="M524" s="48"/>
      <c r="N524" s="48"/>
      <c r="O524" s="48"/>
      <c r="P524" s="48"/>
      <c r="Q524" s="48"/>
      <c r="R524" s="48"/>
      <c r="S524" s="48"/>
      <c r="T524" s="48"/>
      <c r="U524" s="48"/>
      <c r="V524" s="48"/>
      <c r="W524" s="48"/>
      <c r="X524" s="48"/>
      <c r="Y524" s="48"/>
      <c r="Z524" s="48"/>
      <c r="AA524" s="48"/>
      <c r="AB524" s="48"/>
      <c r="AC524" s="1394">
        <v>11</v>
      </c>
      <c r="AD524" s="1374"/>
      <c r="AE524" s="1374"/>
      <c r="AF524" s="1374"/>
      <c r="AG524" s="38" t="s">
        <v>403</v>
      </c>
      <c r="AH524" s="1396">
        <v>2026</v>
      </c>
      <c r="AI524" s="1396"/>
      <c r="AJ524" s="1396"/>
      <c r="AK524" s="1397"/>
      <c r="AZ524" s="3"/>
      <c r="BA524" s="3"/>
      <c r="BB524" s="3"/>
      <c r="BC524" s="3"/>
      <c r="BD524" s="3"/>
      <c r="BE524" s="3"/>
      <c r="BF524" s="3"/>
      <c r="BG524" s="3"/>
      <c r="BH524" s="3"/>
      <c r="BI524" s="3"/>
      <c r="BJ524" s="3"/>
      <c r="BK524" s="3"/>
      <c r="BL524" s="3"/>
      <c r="BM524" s="3"/>
      <c r="BN524" s="3" t="s">
        <v>2063</v>
      </c>
    </row>
    <row r="525" spans="2:66" ht="12.95" customHeight="1">
      <c r="B525" s="1407" t="s">
        <v>418</v>
      </c>
      <c r="C525" s="1408"/>
      <c r="D525" s="1408"/>
      <c r="E525" s="1408"/>
      <c r="F525" s="1408"/>
      <c r="G525" s="1408"/>
      <c r="H525" s="1409"/>
      <c r="I525" s="42" t="s">
        <v>415</v>
      </c>
      <c r="J525" s="42"/>
      <c r="K525" s="42"/>
      <c r="L525" s="42"/>
      <c r="M525" s="42"/>
      <c r="N525" s="42"/>
      <c r="O525" s="42"/>
      <c r="P525" s="42"/>
      <c r="Q525" s="42"/>
      <c r="R525" s="42"/>
      <c r="S525" s="42"/>
      <c r="T525" s="42"/>
      <c r="U525" s="42"/>
      <c r="V525" s="42"/>
      <c r="W525" s="42"/>
      <c r="X525" s="42"/>
      <c r="Y525" s="42"/>
      <c r="Z525" s="42"/>
      <c r="AA525" s="42"/>
      <c r="AB525" s="42"/>
      <c r="AC525" s="1362">
        <v>1</v>
      </c>
      <c r="AD525" s="1363"/>
      <c r="AE525" s="1363"/>
      <c r="AF525" s="1363"/>
      <c r="AG525" s="129" t="s">
        <v>403</v>
      </c>
      <c r="AH525" s="1396">
        <v>2026</v>
      </c>
      <c r="AI525" s="1396"/>
      <c r="AJ525" s="1396"/>
      <c r="AK525" s="1397"/>
      <c r="AZ525" s="3"/>
      <c r="BB525" s="3"/>
      <c r="BC525" s="3"/>
      <c r="BD525" s="3"/>
      <c r="BE525" s="3"/>
      <c r="BF525" s="3"/>
      <c r="BG525" s="3"/>
      <c r="BH525" s="3"/>
      <c r="BI525" s="3"/>
      <c r="BJ525" s="3"/>
      <c r="BK525" s="3"/>
      <c r="BL525" s="3"/>
      <c r="BM525" s="3"/>
      <c r="BN525" s="3" t="s">
        <v>2064</v>
      </c>
    </row>
    <row r="526" spans="2:66" ht="12.95" customHeight="1">
      <c r="B526" s="1410"/>
      <c r="C526" s="1411"/>
      <c r="D526" s="1411"/>
      <c r="E526" s="1411"/>
      <c r="F526" s="1411"/>
      <c r="G526" s="1411"/>
      <c r="H526" s="1412"/>
      <c r="I526" t="s">
        <v>416</v>
      </c>
      <c r="AC526" s="1394">
        <v>1</v>
      </c>
      <c r="AD526" s="1374"/>
      <c r="AE526" s="1374"/>
      <c r="AF526" s="1374"/>
      <c r="AG526" s="13" t="s">
        <v>403</v>
      </c>
      <c r="AH526" s="1396">
        <v>2026</v>
      </c>
      <c r="AI526" s="1396"/>
      <c r="AJ526" s="1396"/>
      <c r="AK526" s="1397"/>
      <c r="BB526" s="3"/>
      <c r="BC526" s="3"/>
      <c r="BD526" s="3"/>
      <c r="BE526" s="3"/>
      <c r="BF526" s="3"/>
      <c r="BG526" s="3"/>
      <c r="BH526" s="3"/>
      <c r="BI526" s="3"/>
      <c r="BJ526" s="3"/>
      <c r="BK526" s="3"/>
      <c r="BL526" s="3"/>
      <c r="BM526" s="3"/>
      <c r="BN526" s="3" t="s">
        <v>2065</v>
      </c>
    </row>
    <row r="527" spans="2:66" ht="12.95" customHeight="1">
      <c r="B527" s="1413"/>
      <c r="C527" s="1414"/>
      <c r="D527" s="1414"/>
      <c r="E527" s="1414"/>
      <c r="F527" s="1414"/>
      <c r="G527" s="1414"/>
      <c r="H527" s="1415"/>
      <c r="I527" s="48" t="s">
        <v>417</v>
      </c>
      <c r="J527" s="48"/>
      <c r="K527" s="48"/>
      <c r="L527" s="48"/>
      <c r="M527" s="48"/>
      <c r="N527" s="48"/>
      <c r="O527" s="48"/>
      <c r="P527" s="48"/>
      <c r="Q527" s="48"/>
      <c r="R527" s="48"/>
      <c r="S527" s="48"/>
      <c r="T527" s="48"/>
      <c r="U527" s="48"/>
      <c r="V527" s="48"/>
      <c r="W527" s="48"/>
      <c r="X527" s="48"/>
      <c r="Y527" s="48"/>
      <c r="Z527" s="48"/>
      <c r="AA527" s="48"/>
      <c r="AB527" s="48"/>
      <c r="AC527" s="1394">
        <v>1</v>
      </c>
      <c r="AD527" s="1374"/>
      <c r="AE527" s="1374"/>
      <c r="AF527" s="1374"/>
      <c r="AG527" s="38" t="s">
        <v>403</v>
      </c>
      <c r="AH527" s="1396">
        <v>2029</v>
      </c>
      <c r="AI527" s="1396"/>
      <c r="AJ527" s="1396"/>
      <c r="AK527" s="1397"/>
      <c r="BB527" s="3"/>
      <c r="BC527" s="3"/>
      <c r="BD527" s="3"/>
      <c r="BE527" s="3"/>
      <c r="BF527" s="3"/>
      <c r="BG527" s="3"/>
      <c r="BH527" s="3"/>
      <c r="BI527" s="3"/>
      <c r="BJ527" s="3"/>
      <c r="BK527" s="3"/>
      <c r="BL527" s="3"/>
      <c r="BM527" s="3"/>
      <c r="BN527" s="3" t="s">
        <v>2066</v>
      </c>
    </row>
    <row r="528" spans="2:66" ht="12.95" customHeight="1">
      <c r="B528" s="1407" t="s">
        <v>419</v>
      </c>
      <c r="C528" s="1408"/>
      <c r="D528" s="1408"/>
      <c r="E528" s="1408"/>
      <c r="F528" s="1408"/>
      <c r="G528" s="1408"/>
      <c r="H528" s="1409"/>
      <c r="I528" s="41" t="s">
        <v>420</v>
      </c>
      <c r="J528" s="42"/>
      <c r="K528" s="42"/>
      <c r="L528" s="42"/>
      <c r="M528" s="42"/>
      <c r="N528" s="42"/>
      <c r="O528" s="1447" t="s">
        <v>334</v>
      </c>
      <c r="P528" s="1448"/>
      <c r="Q528" s="1448"/>
      <c r="R528" s="1448"/>
      <c r="S528" s="1448"/>
      <c r="T528" s="1448"/>
      <c r="U528" s="1448"/>
      <c r="V528" s="1448"/>
      <c r="W528" s="1448"/>
      <c r="X528" s="1448"/>
      <c r="Y528" s="1448"/>
      <c r="Z528" s="1448"/>
      <c r="AA528" s="1448"/>
      <c r="AB528" s="58"/>
      <c r="AC528" s="1362" t="s">
        <v>591</v>
      </c>
      <c r="AD528" s="1363"/>
      <c r="AE528" s="1363"/>
      <c r="AF528" s="1363"/>
      <c r="AG528" s="129" t="s">
        <v>403</v>
      </c>
      <c r="AH528" s="1396"/>
      <c r="AI528" s="1396"/>
      <c r="AJ528" s="1396"/>
      <c r="AK528" s="1397"/>
      <c r="AZ528" s="3"/>
      <c r="BB528" s="3"/>
      <c r="BC528" s="3"/>
      <c r="BD528" s="3"/>
      <c r="BE528" s="3"/>
      <c r="BF528" s="3"/>
      <c r="BG528" s="3"/>
      <c r="BH528" s="3"/>
      <c r="BI528" s="3"/>
      <c r="BJ528" s="3"/>
      <c r="BK528" s="3"/>
      <c r="BL528" s="3"/>
      <c r="BM528" s="3"/>
      <c r="BN528" s="3" t="s">
        <v>2067</v>
      </c>
    </row>
    <row r="529" spans="2:66" ht="12.95" customHeight="1">
      <c r="B529" s="1410"/>
      <c r="C529" s="1411"/>
      <c r="D529" s="1411"/>
      <c r="E529" s="1411"/>
      <c r="F529" s="1411"/>
      <c r="G529" s="1411"/>
      <c r="H529" s="1412"/>
      <c r="I529" s="114" t="s">
        <v>421</v>
      </c>
      <c r="AB529" s="65"/>
      <c r="AC529" s="1394" t="s">
        <v>591</v>
      </c>
      <c r="AD529" s="1374"/>
      <c r="AE529" s="1374"/>
      <c r="AF529" s="1374"/>
      <c r="AG529" s="13" t="s">
        <v>403</v>
      </c>
      <c r="AH529" s="1396"/>
      <c r="AI529" s="1396"/>
      <c r="AJ529" s="1396"/>
      <c r="AK529" s="1397"/>
      <c r="AZ529" s="3"/>
      <c r="BB529" s="3"/>
      <c r="BC529" s="3"/>
      <c r="BD529" s="3"/>
      <c r="BE529" s="3"/>
      <c r="BF529" s="3"/>
      <c r="BG529" s="3"/>
      <c r="BH529" s="3"/>
      <c r="BI529" s="3"/>
      <c r="BJ529" s="3"/>
      <c r="BK529" s="3"/>
      <c r="BL529" s="3"/>
      <c r="BM529" s="3"/>
      <c r="BN529" s="3" t="s">
        <v>2068</v>
      </c>
    </row>
    <row r="530" spans="2:66" ht="12.95" customHeight="1">
      <c r="B530" s="1410"/>
      <c r="C530" s="1411"/>
      <c r="D530" s="1411"/>
      <c r="E530" s="1411"/>
      <c r="F530" s="1411"/>
      <c r="G530" s="1411"/>
      <c r="H530" s="1412"/>
      <c r="I530" s="47" t="s">
        <v>422</v>
      </c>
      <c r="J530" s="48"/>
      <c r="K530" s="48"/>
      <c r="L530" s="48"/>
      <c r="M530" s="48"/>
      <c r="N530" s="48"/>
      <c r="O530" s="48"/>
      <c r="P530" s="48"/>
      <c r="Q530" s="48"/>
      <c r="R530" s="48"/>
      <c r="S530" s="48"/>
      <c r="T530" s="48"/>
      <c r="U530" s="48"/>
      <c r="V530" s="48"/>
      <c r="W530" s="48"/>
      <c r="X530" s="48"/>
      <c r="Y530" s="48"/>
      <c r="Z530" s="48"/>
      <c r="AA530" s="48"/>
      <c r="AB530" s="49"/>
      <c r="AC530" s="1394" t="s">
        <v>591</v>
      </c>
      <c r="AD530" s="1374"/>
      <c r="AE530" s="1374"/>
      <c r="AF530" s="1374"/>
      <c r="AG530" s="38" t="s">
        <v>403</v>
      </c>
      <c r="AH530" s="1396"/>
      <c r="AI530" s="1396"/>
      <c r="AJ530" s="1396"/>
      <c r="AK530" s="1397"/>
      <c r="AZ530" s="3"/>
      <c r="BA530" s="3"/>
      <c r="BB530" s="3"/>
      <c r="BC530" s="3"/>
      <c r="BD530" s="3"/>
      <c r="BE530" s="3"/>
      <c r="BF530" s="3"/>
      <c r="BG530" s="3"/>
      <c r="BH530" s="3"/>
      <c r="BI530" s="3"/>
      <c r="BJ530" s="3"/>
      <c r="BK530" s="3"/>
      <c r="BL530" s="3"/>
      <c r="BM530" s="3"/>
      <c r="BN530" s="3" t="s">
        <v>2069</v>
      </c>
    </row>
    <row r="531" spans="2:66" ht="12.95" customHeight="1">
      <c r="B531" s="1410"/>
      <c r="C531" s="1411"/>
      <c r="D531" s="1411"/>
      <c r="E531" s="1411"/>
      <c r="F531" s="1411"/>
      <c r="G531" s="1411"/>
      <c r="H531" s="1412"/>
      <c r="I531" s="42" t="s">
        <v>423</v>
      </c>
      <c r="J531" s="42"/>
      <c r="K531" s="42"/>
      <c r="L531" s="42"/>
      <c r="M531" s="42"/>
      <c r="N531" s="42"/>
      <c r="O531" s="1447" t="s">
        <v>334</v>
      </c>
      <c r="P531" s="1448"/>
      <c r="Q531" s="1448"/>
      <c r="R531" s="1448"/>
      <c r="S531" s="1448"/>
      <c r="T531" s="1448"/>
      <c r="U531" s="1448"/>
      <c r="V531" s="1448"/>
      <c r="W531" s="1448"/>
      <c r="X531" s="1448"/>
      <c r="Y531" s="1448"/>
      <c r="Z531" s="1448"/>
      <c r="AA531" s="1448"/>
      <c r="AC531" s="1394" t="s">
        <v>591</v>
      </c>
      <c r="AD531" s="1374"/>
      <c r="AE531" s="1374"/>
      <c r="AF531" s="1374"/>
      <c r="AG531" s="13" t="s">
        <v>403</v>
      </c>
      <c r="AH531" s="1396"/>
      <c r="AI531" s="1396"/>
      <c r="AJ531" s="1396"/>
      <c r="AK531" s="1397"/>
      <c r="AZ531" s="3"/>
      <c r="BA531" s="3"/>
      <c r="BB531" s="3"/>
      <c r="BC531" s="3"/>
      <c r="BD531" s="3"/>
      <c r="BE531" s="3"/>
      <c r="BF531" s="3"/>
      <c r="BG531" s="3"/>
      <c r="BH531" s="3"/>
      <c r="BI531" s="3"/>
      <c r="BJ531" s="3"/>
      <c r="BK531" s="3"/>
      <c r="BL531" s="3"/>
      <c r="BM531" s="3"/>
      <c r="BN531" s="3" t="s">
        <v>2070</v>
      </c>
    </row>
    <row r="532" spans="2:66" ht="12.95" customHeight="1">
      <c r="B532" s="1410"/>
      <c r="C532" s="1411"/>
      <c r="D532" s="1411"/>
      <c r="E532" s="1411"/>
      <c r="F532" s="1411"/>
      <c r="G532" s="1411"/>
      <c r="H532" s="1412"/>
      <c r="I532" t="s">
        <v>421</v>
      </c>
      <c r="AC532" s="1394" t="s">
        <v>591</v>
      </c>
      <c r="AD532" s="1374"/>
      <c r="AE532" s="1374"/>
      <c r="AF532" s="1374"/>
      <c r="AG532" s="13" t="s">
        <v>403</v>
      </c>
      <c r="AH532" s="1396"/>
      <c r="AI532" s="1396"/>
      <c r="AJ532" s="1396"/>
      <c r="AK532" s="1397"/>
      <c r="AZ532" s="3"/>
      <c r="BA532" s="3"/>
      <c r="BB532" s="3"/>
      <c r="BC532" s="3"/>
      <c r="BD532" s="3"/>
      <c r="BE532" s="3"/>
      <c r="BF532" s="3"/>
      <c r="BG532" s="3"/>
      <c r="BH532" s="3"/>
      <c r="BI532" s="3"/>
      <c r="BJ532" s="3"/>
      <c r="BK532" s="3"/>
      <c r="BL532" s="3"/>
      <c r="BM532" s="3"/>
      <c r="BN532" s="3" t="s">
        <v>2071</v>
      </c>
    </row>
    <row r="533" spans="2:66" ht="12.95" customHeight="1">
      <c r="B533" s="1410"/>
      <c r="C533" s="1411"/>
      <c r="D533" s="1411"/>
      <c r="E533" s="1411"/>
      <c r="F533" s="1411"/>
      <c r="G533" s="1411"/>
      <c r="H533" s="1412"/>
      <c r="I533" s="48" t="s">
        <v>422</v>
      </c>
      <c r="J533" s="48"/>
      <c r="K533" s="48"/>
      <c r="L533" s="48"/>
      <c r="M533" s="48"/>
      <c r="N533" s="48"/>
      <c r="O533" s="48"/>
      <c r="P533" s="48"/>
      <c r="Q533" s="48"/>
      <c r="R533" s="48"/>
      <c r="S533" s="48"/>
      <c r="T533" s="48"/>
      <c r="U533" s="48"/>
      <c r="V533" s="48"/>
      <c r="W533" s="48"/>
      <c r="X533" s="48"/>
      <c r="Y533" s="48"/>
      <c r="Z533" s="48"/>
      <c r="AA533" s="48"/>
      <c r="AB533" s="48"/>
      <c r="AC533" s="1394" t="s">
        <v>591</v>
      </c>
      <c r="AD533" s="1374"/>
      <c r="AE533" s="1374"/>
      <c r="AF533" s="1374"/>
      <c r="AG533" s="38" t="s">
        <v>403</v>
      </c>
      <c r="AH533" s="1396"/>
      <c r="AI533" s="1396"/>
      <c r="AJ533" s="1396"/>
      <c r="AK533" s="1397"/>
      <c r="AZ533" s="3"/>
      <c r="BA533" s="3"/>
      <c r="BB533" s="3"/>
      <c r="BC533" s="3"/>
      <c r="BD533" s="3"/>
      <c r="BE533" s="3"/>
      <c r="BF533" s="3"/>
      <c r="BG533" s="3"/>
      <c r="BH533" s="3"/>
      <c r="BI533" s="3"/>
      <c r="BJ533" s="3"/>
      <c r="BK533" s="3"/>
      <c r="BL533" s="3"/>
      <c r="BM533" s="3"/>
      <c r="BN533" s="3" t="s">
        <v>2072</v>
      </c>
    </row>
    <row r="534" spans="2:66" ht="12.95" customHeight="1">
      <c r="B534" s="1410"/>
      <c r="C534" s="1411"/>
      <c r="D534" s="1411"/>
      <c r="E534" s="1411"/>
      <c r="F534" s="1411"/>
      <c r="G534" s="1411"/>
      <c r="H534" s="1412"/>
      <c r="I534" s="42" t="s">
        <v>423</v>
      </c>
      <c r="J534" s="42"/>
      <c r="K534" s="42"/>
      <c r="L534" s="42"/>
      <c r="M534" s="42"/>
      <c r="N534" s="42"/>
      <c r="O534" s="1447" t="s">
        <v>334</v>
      </c>
      <c r="P534" s="1448"/>
      <c r="Q534" s="1448"/>
      <c r="R534" s="1448"/>
      <c r="S534" s="1448"/>
      <c r="T534" s="1448"/>
      <c r="U534" s="1448"/>
      <c r="V534" s="1448"/>
      <c r="W534" s="1448"/>
      <c r="X534" s="1448"/>
      <c r="Y534" s="1448"/>
      <c r="Z534" s="1448"/>
      <c r="AA534" s="1448"/>
      <c r="AC534" s="1394" t="s">
        <v>591</v>
      </c>
      <c r="AD534" s="1374"/>
      <c r="AE534" s="1374"/>
      <c r="AF534" s="1374"/>
      <c r="AG534" s="13" t="s">
        <v>403</v>
      </c>
      <c r="AH534" s="1396"/>
      <c r="AI534" s="1396"/>
      <c r="AJ534" s="1396"/>
      <c r="AK534" s="1397"/>
      <c r="AZ534" s="3"/>
      <c r="BA534" s="3"/>
      <c r="BB534" s="3"/>
      <c r="BC534" s="3"/>
      <c r="BD534" s="3"/>
      <c r="BE534" s="3"/>
      <c r="BF534" s="3"/>
      <c r="BG534" s="3"/>
      <c r="BH534" s="3"/>
      <c r="BI534" s="3"/>
      <c r="BJ534" s="3"/>
      <c r="BK534" s="3"/>
      <c r="BL534" s="3"/>
      <c r="BM534" s="3"/>
      <c r="BN534" s="3" t="s">
        <v>2073</v>
      </c>
    </row>
    <row r="535" spans="2:66" ht="12.95" customHeight="1">
      <c r="B535" s="1410"/>
      <c r="C535" s="1411"/>
      <c r="D535" s="1411"/>
      <c r="E535" s="1411"/>
      <c r="F535" s="1411"/>
      <c r="G535" s="1411"/>
      <c r="H535" s="1412"/>
      <c r="I535" t="s">
        <v>421</v>
      </c>
      <c r="AC535" s="1394" t="s">
        <v>591</v>
      </c>
      <c r="AD535" s="1374"/>
      <c r="AE535" s="1374"/>
      <c r="AF535" s="1374"/>
      <c r="AG535" s="13" t="s">
        <v>403</v>
      </c>
      <c r="AH535" s="1396"/>
      <c r="AI535" s="1396"/>
      <c r="AJ535" s="1396"/>
      <c r="AK535" s="1397"/>
      <c r="AZ535" s="3"/>
      <c r="BA535" s="3"/>
      <c r="BB535" s="3"/>
      <c r="BC535" s="3"/>
      <c r="BD535" s="3"/>
      <c r="BE535" s="3"/>
      <c r="BF535" s="3"/>
      <c r="BG535" s="3"/>
      <c r="BH535" s="3"/>
      <c r="BI535" s="3"/>
      <c r="BJ535" s="3"/>
      <c r="BK535" s="3"/>
      <c r="BL535" s="3"/>
      <c r="BM535" s="3"/>
      <c r="BN535" s="3" t="s">
        <v>2074</v>
      </c>
    </row>
    <row r="536" spans="2:66" ht="12.95" customHeight="1">
      <c r="B536" s="1410"/>
      <c r="C536" s="1411"/>
      <c r="D536" s="1411"/>
      <c r="E536" s="1411"/>
      <c r="F536" s="1411"/>
      <c r="G536" s="1411"/>
      <c r="H536" s="1412"/>
      <c r="I536" s="48" t="s">
        <v>422</v>
      </c>
      <c r="J536" s="48"/>
      <c r="K536" s="48"/>
      <c r="L536" s="48"/>
      <c r="M536" s="48"/>
      <c r="N536" s="48"/>
      <c r="O536" s="48"/>
      <c r="P536" s="48"/>
      <c r="Q536" s="48"/>
      <c r="R536" s="48"/>
      <c r="S536" s="48"/>
      <c r="T536" s="48"/>
      <c r="U536" s="48"/>
      <c r="V536" s="48"/>
      <c r="W536" s="48"/>
      <c r="X536" s="48"/>
      <c r="Y536" s="48"/>
      <c r="Z536" s="48"/>
      <c r="AA536" s="48"/>
      <c r="AB536" s="48"/>
      <c r="AC536" s="1394" t="s">
        <v>591</v>
      </c>
      <c r="AD536" s="1374"/>
      <c r="AE536" s="1374"/>
      <c r="AF536" s="1374"/>
      <c r="AG536" s="38" t="s">
        <v>403</v>
      </c>
      <c r="AH536" s="1396"/>
      <c r="AI536" s="1396"/>
      <c r="AJ536" s="1396"/>
      <c r="AK536" s="1397"/>
      <c r="AZ536" s="3"/>
      <c r="BA536" s="3"/>
      <c r="BB536" s="3"/>
      <c r="BC536" s="3"/>
      <c r="BD536" s="3"/>
      <c r="BE536" s="3"/>
      <c r="BF536" s="3"/>
      <c r="BG536" s="3"/>
      <c r="BH536" s="3"/>
      <c r="BI536" s="3"/>
      <c r="BJ536" s="3"/>
      <c r="BK536" s="3"/>
      <c r="BL536" s="3"/>
      <c r="BM536" s="3"/>
      <c r="BN536" s="3" t="s">
        <v>2075</v>
      </c>
    </row>
    <row r="537" spans="2:66" ht="12.95" customHeight="1">
      <c r="B537" s="1410"/>
      <c r="C537" s="1411"/>
      <c r="D537" s="1411"/>
      <c r="E537" s="1411"/>
      <c r="F537" s="1411"/>
      <c r="G537" s="1411"/>
      <c r="H537" s="1412"/>
      <c r="I537" s="42" t="s">
        <v>423</v>
      </c>
      <c r="J537" s="42"/>
      <c r="K537" s="42"/>
      <c r="L537" s="42"/>
      <c r="M537" s="42"/>
      <c r="N537" s="42"/>
      <c r="O537" s="1447" t="s">
        <v>334</v>
      </c>
      <c r="P537" s="1448"/>
      <c r="Q537" s="1448"/>
      <c r="R537" s="1448"/>
      <c r="S537" s="1448"/>
      <c r="T537" s="1448"/>
      <c r="U537" s="1448"/>
      <c r="V537" s="1448"/>
      <c r="W537" s="1448"/>
      <c r="X537" s="1448"/>
      <c r="Y537" s="1448"/>
      <c r="Z537" s="1448"/>
      <c r="AA537" s="1448"/>
      <c r="AC537" s="1394" t="s">
        <v>591</v>
      </c>
      <c r="AD537" s="1374"/>
      <c r="AE537" s="1374"/>
      <c r="AF537" s="1374"/>
      <c r="AG537" s="13" t="s">
        <v>403</v>
      </c>
      <c r="AH537" s="1396"/>
      <c r="AI537" s="1396"/>
      <c r="AJ537" s="1396"/>
      <c r="AK537" s="1397"/>
      <c r="AZ537" s="3"/>
      <c r="BA537" s="3"/>
      <c r="BB537" s="3"/>
      <c r="BC537" s="3"/>
      <c r="BD537" s="3"/>
      <c r="BE537" s="3"/>
      <c r="BF537" s="3"/>
      <c r="BG537" s="3"/>
      <c r="BH537" s="3"/>
      <c r="BI537" s="3"/>
      <c r="BJ537" s="3"/>
      <c r="BK537" s="3"/>
      <c r="BL537" s="3"/>
      <c r="BM537" s="3"/>
      <c r="BN537" s="3" t="s">
        <v>2076</v>
      </c>
    </row>
    <row r="538" spans="2:66" ht="12.95" customHeight="1">
      <c r="B538" s="1410"/>
      <c r="C538" s="1411"/>
      <c r="D538" s="1411"/>
      <c r="E538" s="1411"/>
      <c r="F538" s="1411"/>
      <c r="G538" s="1411"/>
      <c r="H538" s="1412"/>
      <c r="I538" t="s">
        <v>421</v>
      </c>
      <c r="AC538" s="1394" t="s">
        <v>591</v>
      </c>
      <c r="AD538" s="1374"/>
      <c r="AE538" s="1374"/>
      <c r="AF538" s="1374"/>
      <c r="AG538" s="13" t="s">
        <v>403</v>
      </c>
      <c r="AH538" s="1396"/>
      <c r="AI538" s="1396"/>
      <c r="AJ538" s="1396"/>
      <c r="AK538" s="1397"/>
      <c r="AZ538" s="3"/>
      <c r="BA538" s="3"/>
      <c r="BB538" s="3"/>
      <c r="BC538" s="3"/>
      <c r="BD538" s="3"/>
      <c r="BE538" s="3"/>
      <c r="BF538" s="3"/>
      <c r="BG538" s="3"/>
      <c r="BH538" s="3"/>
      <c r="BI538" s="3"/>
      <c r="BJ538" s="3"/>
      <c r="BK538" s="3"/>
      <c r="BL538" s="3"/>
      <c r="BM538" s="3"/>
      <c r="BN538" s="3" t="s">
        <v>2077</v>
      </c>
    </row>
    <row r="539" spans="2:66" ht="12.95" customHeight="1">
      <c r="B539" s="1410"/>
      <c r="C539" s="1411"/>
      <c r="D539" s="1411"/>
      <c r="E539" s="1411"/>
      <c r="F539" s="1411"/>
      <c r="G539" s="1411"/>
      <c r="H539" s="1412"/>
      <c r="I539" s="48" t="s">
        <v>422</v>
      </c>
      <c r="J539" s="48"/>
      <c r="K539" s="48"/>
      <c r="L539" s="48"/>
      <c r="M539" s="48"/>
      <c r="N539" s="48"/>
      <c r="O539" s="48"/>
      <c r="P539" s="48"/>
      <c r="Q539" s="48"/>
      <c r="R539" s="48"/>
      <c r="S539" s="48"/>
      <c r="T539" s="48"/>
      <c r="U539" s="48"/>
      <c r="V539" s="48"/>
      <c r="W539" s="48"/>
      <c r="X539" s="48"/>
      <c r="Y539" s="48"/>
      <c r="Z539" s="48"/>
      <c r="AA539" s="48"/>
      <c r="AB539" s="48"/>
      <c r="AC539" s="1394" t="s">
        <v>591</v>
      </c>
      <c r="AD539" s="1374"/>
      <c r="AE539" s="1374"/>
      <c r="AF539" s="1374"/>
      <c r="AG539" s="38" t="s">
        <v>403</v>
      </c>
      <c r="AH539" s="1396"/>
      <c r="AI539" s="1396"/>
      <c r="AJ539" s="1396"/>
      <c r="AK539" s="1397"/>
      <c r="AZ539" s="3"/>
      <c r="BA539" s="3"/>
      <c r="BB539" s="3"/>
      <c r="BC539" s="3"/>
      <c r="BD539" s="3"/>
      <c r="BE539" s="3"/>
      <c r="BF539" s="3"/>
      <c r="BG539" s="3"/>
      <c r="BH539" s="3"/>
      <c r="BI539" s="3"/>
      <c r="BJ539" s="3"/>
      <c r="BK539" s="3"/>
      <c r="BL539" s="3"/>
      <c r="BM539" s="3"/>
      <c r="BN539" s="3" t="s">
        <v>2078</v>
      </c>
    </row>
    <row r="540" spans="2:66" ht="12.95" customHeight="1">
      <c r="B540" s="1410"/>
      <c r="C540" s="1411"/>
      <c r="D540" s="1411"/>
      <c r="E540" s="1411"/>
      <c r="F540" s="1411"/>
      <c r="G540" s="1411"/>
      <c r="H540" s="1412"/>
      <c r="I540" s="42" t="s">
        <v>423</v>
      </c>
      <c r="J540" s="42"/>
      <c r="K540" s="42"/>
      <c r="L540" s="42"/>
      <c r="M540" s="42"/>
      <c r="N540" s="42"/>
      <c r="O540" s="1447" t="s">
        <v>334</v>
      </c>
      <c r="P540" s="1448"/>
      <c r="Q540" s="1448"/>
      <c r="R540" s="1448"/>
      <c r="S540" s="1448"/>
      <c r="T540" s="1448"/>
      <c r="U540" s="1448"/>
      <c r="V540" s="1448"/>
      <c r="W540" s="1448"/>
      <c r="X540" s="1448"/>
      <c r="Y540" s="1448"/>
      <c r="Z540" s="1448"/>
      <c r="AA540" s="1448"/>
      <c r="AC540" s="1394" t="s">
        <v>591</v>
      </c>
      <c r="AD540" s="1374"/>
      <c r="AE540" s="1374"/>
      <c r="AF540" s="1374"/>
      <c r="AG540" s="13" t="s">
        <v>403</v>
      </c>
      <c r="AH540" s="1396"/>
      <c r="AI540" s="1396"/>
      <c r="AJ540" s="1396"/>
      <c r="AK540" s="1397"/>
      <c r="AZ540" s="3"/>
      <c r="BA540" s="3"/>
      <c r="BB540" s="3"/>
      <c r="BC540" s="3"/>
      <c r="BD540" s="3"/>
      <c r="BE540" s="3"/>
      <c r="BF540" s="3"/>
      <c r="BG540" s="3"/>
      <c r="BH540" s="3"/>
      <c r="BI540" s="3"/>
      <c r="BJ540" s="3"/>
      <c r="BK540" s="3"/>
      <c r="BL540" s="3"/>
      <c r="BM540" s="3"/>
      <c r="BN540" s="3" t="s">
        <v>2079</v>
      </c>
    </row>
    <row r="541" spans="2:66" ht="12.95" customHeight="1">
      <c r="B541" s="1410"/>
      <c r="C541" s="1411"/>
      <c r="D541" s="1411"/>
      <c r="E541" s="1411"/>
      <c r="F541" s="1411"/>
      <c r="G541" s="1411"/>
      <c r="H541" s="1412"/>
      <c r="I541" t="s">
        <v>421</v>
      </c>
      <c r="AC541" s="1394" t="s">
        <v>591</v>
      </c>
      <c r="AD541" s="1374"/>
      <c r="AE541" s="1374"/>
      <c r="AF541" s="1374"/>
      <c r="AG541" s="38" t="s">
        <v>403</v>
      </c>
      <c r="AH541" s="1396"/>
      <c r="AI541" s="1396"/>
      <c r="AJ541" s="1396"/>
      <c r="AK541" s="1397"/>
      <c r="AZ541" s="3"/>
      <c r="BA541" s="3"/>
      <c r="BB541" s="3"/>
      <c r="BC541" s="3"/>
      <c r="BD541" s="3"/>
      <c r="BE541" s="3"/>
      <c r="BF541" s="3"/>
      <c r="BG541" s="3"/>
      <c r="BH541" s="3"/>
      <c r="BI541" s="3"/>
      <c r="BJ541" s="3"/>
      <c r="BK541" s="3"/>
      <c r="BL541" s="3"/>
      <c r="BM541" s="3"/>
      <c r="BN541" s="3" t="s">
        <v>2080</v>
      </c>
    </row>
    <row r="542" spans="2:66" ht="12.95" customHeight="1">
      <c r="B542" s="1410"/>
      <c r="C542" s="1411"/>
      <c r="D542" s="1411"/>
      <c r="E542" s="1411"/>
      <c r="F542" s="1411"/>
      <c r="G542" s="1411"/>
      <c r="H542" s="1412"/>
      <c r="I542" s="48" t="s">
        <v>422</v>
      </c>
      <c r="J542" s="48"/>
      <c r="K542" s="48"/>
      <c r="L542" s="48"/>
      <c r="M542" s="48"/>
      <c r="N542" s="48"/>
      <c r="O542" s="48"/>
      <c r="P542" s="48"/>
      <c r="Q542" s="48"/>
      <c r="R542" s="48"/>
      <c r="S542" s="48"/>
      <c r="T542" s="48"/>
      <c r="U542" s="48"/>
      <c r="V542" s="48"/>
      <c r="W542" s="48"/>
      <c r="X542" s="48"/>
      <c r="Y542" s="48"/>
      <c r="Z542" s="48"/>
      <c r="AA542" s="48"/>
      <c r="AB542" s="48"/>
      <c r="AC542" s="1394" t="s">
        <v>591</v>
      </c>
      <c r="AD542" s="1374"/>
      <c r="AE542" s="1374"/>
      <c r="AF542" s="1374"/>
      <c r="AG542" s="13" t="s">
        <v>403</v>
      </c>
      <c r="AH542" s="1396"/>
      <c r="AI542" s="1396"/>
      <c r="AJ542" s="1396"/>
      <c r="AK542" s="1397"/>
      <c r="AZ542" s="3"/>
      <c r="BA542" s="3"/>
      <c r="BB542" s="3"/>
      <c r="BC542" s="3"/>
      <c r="BD542" s="3"/>
      <c r="BE542" s="3"/>
      <c r="BF542" s="3"/>
      <c r="BG542" s="3"/>
      <c r="BH542" s="3"/>
      <c r="BI542" s="3"/>
      <c r="BJ542" s="3"/>
      <c r="BK542" s="3"/>
      <c r="BL542" s="3"/>
      <c r="BM542" s="3"/>
      <c r="BN542" s="3" t="s">
        <v>2081</v>
      </c>
    </row>
    <row r="543" spans="2:66" ht="12.95" customHeight="1">
      <c r="B543" s="1410"/>
      <c r="C543" s="1411"/>
      <c r="D543" s="1411"/>
      <c r="E543" s="1411"/>
      <c r="F543" s="1411"/>
      <c r="G543" s="1411"/>
      <c r="H543" s="1412"/>
      <c r="I543" s="42" t="s">
        <v>423</v>
      </c>
      <c r="J543" s="42"/>
      <c r="K543" s="42"/>
      <c r="L543" s="42"/>
      <c r="M543" s="42"/>
      <c r="N543" s="42"/>
      <c r="O543" s="1447" t="s">
        <v>334</v>
      </c>
      <c r="P543" s="1448"/>
      <c r="Q543" s="1448"/>
      <c r="R543" s="1448"/>
      <c r="S543" s="1448"/>
      <c r="T543" s="1448"/>
      <c r="U543" s="1448"/>
      <c r="V543" s="1448"/>
      <c r="W543" s="1448"/>
      <c r="X543" s="1448"/>
      <c r="Y543" s="1448"/>
      <c r="Z543" s="1448"/>
      <c r="AA543" s="1448"/>
      <c r="AC543" s="1394" t="s">
        <v>591</v>
      </c>
      <c r="AD543" s="1374"/>
      <c r="AE543" s="1374"/>
      <c r="AF543" s="1374"/>
      <c r="AG543" s="38" t="s">
        <v>403</v>
      </c>
      <c r="AH543" s="1396"/>
      <c r="AI543" s="1396"/>
      <c r="AJ543" s="1396"/>
      <c r="AK543" s="1397"/>
      <c r="AZ543" s="3"/>
      <c r="BA543" s="3"/>
      <c r="BB543" s="3"/>
      <c r="BC543" s="3"/>
      <c r="BD543" s="3"/>
      <c r="BE543" s="3"/>
      <c r="BF543" s="3"/>
      <c r="BG543" s="3"/>
      <c r="BH543" s="3"/>
      <c r="BI543" s="3"/>
      <c r="BJ543" s="3"/>
      <c r="BK543" s="3"/>
      <c r="BL543" s="3"/>
      <c r="BM543" s="3"/>
      <c r="BN543" s="3" t="s">
        <v>2082</v>
      </c>
    </row>
    <row r="544" spans="2:66" ht="12.95" customHeight="1">
      <c r="B544" s="1410"/>
      <c r="C544" s="1411"/>
      <c r="D544" s="1411"/>
      <c r="E544" s="1411"/>
      <c r="F544" s="1411"/>
      <c r="G544" s="1411"/>
      <c r="H544" s="1412"/>
      <c r="I544" t="s">
        <v>421</v>
      </c>
      <c r="AC544" s="1394" t="s">
        <v>591</v>
      </c>
      <c r="AD544" s="1374"/>
      <c r="AE544" s="1374"/>
      <c r="AF544" s="1374"/>
      <c r="AG544" s="13" t="s">
        <v>403</v>
      </c>
      <c r="AH544" s="1396"/>
      <c r="AI544" s="1396"/>
      <c r="AJ544" s="1396"/>
      <c r="AK544" s="1397"/>
      <c r="AZ544" s="3"/>
      <c r="BA544" s="3"/>
      <c r="BB544" s="3"/>
      <c r="BC544" s="3"/>
      <c r="BD544" s="3"/>
      <c r="BE544" s="3"/>
      <c r="BF544" s="3"/>
      <c r="BG544" s="3"/>
      <c r="BH544" s="3"/>
      <c r="BI544" s="3"/>
      <c r="BJ544" s="3"/>
      <c r="BK544" s="3"/>
      <c r="BL544" s="3"/>
      <c r="BM544" s="3"/>
      <c r="BN544" s="3" t="s">
        <v>2083</v>
      </c>
    </row>
    <row r="545" spans="1:66" ht="12.95" customHeight="1">
      <c r="B545" s="1410"/>
      <c r="C545" s="1411"/>
      <c r="D545" s="1411"/>
      <c r="E545" s="1411"/>
      <c r="F545" s="1411"/>
      <c r="G545" s="1411"/>
      <c r="H545" s="1412"/>
      <c r="I545" s="48" t="s">
        <v>422</v>
      </c>
      <c r="J545" s="48"/>
      <c r="K545" s="48"/>
      <c r="L545" s="48"/>
      <c r="M545" s="48"/>
      <c r="N545" s="48"/>
      <c r="O545" s="48"/>
      <c r="P545" s="48"/>
      <c r="Q545" s="48"/>
      <c r="R545" s="48"/>
      <c r="S545" s="48"/>
      <c r="T545" s="48"/>
      <c r="U545" s="48"/>
      <c r="V545" s="48"/>
      <c r="W545" s="48"/>
      <c r="X545" s="48"/>
      <c r="Y545" s="48"/>
      <c r="Z545" s="48"/>
      <c r="AA545" s="48"/>
      <c r="AB545" s="48"/>
      <c r="AC545" s="1394" t="s">
        <v>591</v>
      </c>
      <c r="AD545" s="1374"/>
      <c r="AE545" s="1374"/>
      <c r="AF545" s="1374"/>
      <c r="AG545" s="38" t="s">
        <v>403</v>
      </c>
      <c r="AH545" s="1396"/>
      <c r="AI545" s="1396"/>
      <c r="AJ545" s="1396"/>
      <c r="AK545" s="1397"/>
      <c r="AZ545" s="3"/>
      <c r="BA545" s="3"/>
      <c r="BB545" s="3"/>
      <c r="BC545" s="3"/>
      <c r="BD545" s="3"/>
      <c r="BE545" s="3"/>
      <c r="BF545" s="3"/>
      <c r="BG545" s="3"/>
      <c r="BH545" s="3"/>
      <c r="BI545" s="3"/>
      <c r="BJ545" s="3"/>
      <c r="BK545" s="3"/>
      <c r="BL545" s="3"/>
      <c r="BM545" s="3"/>
      <c r="BN545" s="3" t="s">
        <v>2084</v>
      </c>
    </row>
    <row r="546" spans="1:66" ht="12.95" customHeight="1">
      <c r="B546" s="1410"/>
      <c r="C546" s="1411"/>
      <c r="D546" s="1411"/>
      <c r="E546" s="1411"/>
      <c r="F546" s="1411"/>
      <c r="G546" s="1411"/>
      <c r="H546" s="1412"/>
      <c r="I546" s="42" t="s">
        <v>562</v>
      </c>
      <c r="J546" s="42"/>
      <c r="K546" s="42"/>
      <c r="L546" s="42"/>
      <c r="M546" s="42"/>
      <c r="N546" s="42"/>
      <c r="O546" s="42"/>
      <c r="P546" s="42"/>
      <c r="Q546" s="42"/>
      <c r="R546" s="42"/>
      <c r="S546" s="42"/>
      <c r="T546" s="42"/>
      <c r="U546" s="42"/>
      <c r="V546" s="42"/>
      <c r="W546" s="42"/>
      <c r="AC546" s="1394">
        <v>12</v>
      </c>
      <c r="AD546" s="1374"/>
      <c r="AE546" s="1374"/>
      <c r="AF546" s="1374"/>
      <c r="AG546" s="38" t="s">
        <v>403</v>
      </c>
      <c r="AH546" s="1396">
        <v>2026</v>
      </c>
      <c r="AI546" s="1396"/>
      <c r="AJ546" s="1396"/>
      <c r="AK546" s="1397"/>
      <c r="AZ546" s="3"/>
      <c r="BA546" s="3"/>
      <c r="BB546" s="3"/>
      <c r="BC546" s="3"/>
      <c r="BD546" s="3"/>
      <c r="BE546" s="3"/>
      <c r="BF546" s="3"/>
      <c r="BG546" s="3"/>
      <c r="BH546" s="3"/>
      <c r="BI546" s="3"/>
      <c r="BJ546" s="3"/>
      <c r="BK546" s="3"/>
      <c r="BL546" s="3"/>
      <c r="BM546" s="3"/>
      <c r="BN546" s="3"/>
    </row>
    <row r="547" spans="1:66" ht="12.95" customHeight="1">
      <c r="B547" s="1410"/>
      <c r="C547" s="1411"/>
      <c r="D547" s="1411"/>
      <c r="E547" s="1411"/>
      <c r="F547" s="1411"/>
      <c r="G547" s="1411"/>
      <c r="H547" s="1412"/>
      <c r="I547" t="s">
        <v>563</v>
      </c>
      <c r="AC547" s="1394">
        <v>11</v>
      </c>
      <c r="AD547" s="1374"/>
      <c r="AE547" s="1374"/>
      <c r="AF547" s="1374"/>
      <c r="AG547" s="13" t="s">
        <v>403</v>
      </c>
      <c r="AH547" s="1396">
        <v>2026</v>
      </c>
      <c r="AI547" s="1396"/>
      <c r="AJ547" s="1396"/>
      <c r="AK547" s="1397"/>
      <c r="AZ547" s="3"/>
      <c r="BA547" s="3"/>
      <c r="BB547" s="3"/>
      <c r="BC547" s="3"/>
      <c r="BD547" s="3"/>
      <c r="BE547" s="3"/>
      <c r="BF547" s="3"/>
      <c r="BG547" s="3"/>
      <c r="BH547" s="3"/>
      <c r="BI547" s="3"/>
      <c r="BJ547" s="3"/>
      <c r="BK547" s="3"/>
      <c r="BL547" s="3"/>
      <c r="BM547" s="3"/>
      <c r="BN547" s="3"/>
    </row>
    <row r="548" spans="1:66" ht="12.95" customHeight="1">
      <c r="B548" s="1410"/>
      <c r="C548" s="1411"/>
      <c r="D548" s="1411"/>
      <c r="E548" s="1411"/>
      <c r="F548" s="1411"/>
      <c r="G548" s="1411"/>
      <c r="H548" s="1412"/>
      <c r="I548" t="s">
        <v>564</v>
      </c>
      <c r="AC548" s="1394">
        <v>11</v>
      </c>
      <c r="AD548" s="1374"/>
      <c r="AE548" s="1374"/>
      <c r="AF548" s="1374"/>
      <c r="AG548" s="38" t="s">
        <v>403</v>
      </c>
      <c r="AH548" s="1396">
        <v>2028</v>
      </c>
      <c r="AI548" s="1396"/>
      <c r="AJ548" s="1396"/>
      <c r="AK548" s="1397"/>
      <c r="AZ548" s="3"/>
      <c r="BA548" s="3"/>
      <c r="BB548" s="3"/>
      <c r="BC548" s="3"/>
      <c r="BD548" s="3"/>
      <c r="BE548" s="3"/>
      <c r="BF548" s="3"/>
      <c r="BG548" s="3"/>
      <c r="BH548" s="3"/>
      <c r="BI548" s="3"/>
      <c r="BJ548" s="3"/>
      <c r="BK548" s="3"/>
      <c r="BL548" s="3"/>
      <c r="BM548" s="3"/>
      <c r="BN548" s="3"/>
    </row>
    <row r="549" spans="1:66" ht="12.95" customHeight="1">
      <c r="B549" s="1410"/>
      <c r="C549" s="1411"/>
      <c r="D549" s="1411"/>
      <c r="E549" s="1411"/>
      <c r="F549" s="1411"/>
      <c r="G549" s="1411"/>
      <c r="H549" s="1412"/>
      <c r="I549" t="s">
        <v>565</v>
      </c>
      <c r="AC549" s="1394">
        <v>11</v>
      </c>
      <c r="AD549" s="1374"/>
      <c r="AE549" s="1374"/>
      <c r="AF549" s="1374"/>
      <c r="AG549" s="38" t="s">
        <v>403</v>
      </c>
      <c r="AH549" s="1396">
        <v>2028</v>
      </c>
      <c r="AI549" s="1396"/>
      <c r="AJ549" s="1396"/>
      <c r="AK549" s="1397"/>
      <c r="AZ549" s="3"/>
      <c r="BA549" s="3"/>
      <c r="BB549" s="3"/>
      <c r="BC549" s="3"/>
      <c r="BD549" s="3"/>
      <c r="BE549" s="3"/>
      <c r="BF549" s="3"/>
      <c r="BG549" s="3"/>
      <c r="BH549" s="3"/>
      <c r="BI549" s="3"/>
      <c r="BJ549" s="3"/>
      <c r="BK549" s="3"/>
      <c r="BL549" s="3"/>
      <c r="BM549" s="3"/>
      <c r="BN549" s="3"/>
    </row>
    <row r="550" spans="1:66" ht="12.95" customHeight="1">
      <c r="B550" s="1413"/>
      <c r="C550" s="1414"/>
      <c r="D550" s="1414"/>
      <c r="E550" s="1414"/>
      <c r="F550" s="1414"/>
      <c r="G550" s="1414"/>
      <c r="H550" s="1415"/>
      <c r="I550" s="48" t="s">
        <v>451</v>
      </c>
      <c r="J550" s="48"/>
      <c r="K550" s="48"/>
      <c r="L550" s="48"/>
      <c r="M550" s="48"/>
      <c r="N550" s="48"/>
      <c r="O550" s="48"/>
      <c r="P550" s="48"/>
      <c r="Q550" s="48"/>
      <c r="R550" s="48"/>
      <c r="S550" s="48"/>
      <c r="T550" s="48"/>
      <c r="U550" s="48"/>
      <c r="V550" s="48"/>
      <c r="W550" s="48"/>
      <c r="X550" s="48"/>
      <c r="Y550" s="48"/>
      <c r="Z550" s="48"/>
      <c r="AA550" s="48"/>
      <c r="AB550" s="48"/>
      <c r="AC550" s="1394">
        <v>1</v>
      </c>
      <c r="AD550" s="1374"/>
      <c r="AE550" s="1374"/>
      <c r="AF550" s="1374"/>
      <c r="AG550" s="38" t="s">
        <v>403</v>
      </c>
      <c r="AH550" s="1396">
        <v>2029</v>
      </c>
      <c r="AI550" s="1396"/>
      <c r="AJ550" s="1396"/>
      <c r="AK550" s="1397"/>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6" t="s">
        <v>543</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2056</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No</v>
      </c>
    </row>
    <row r="559" spans="1:66" ht="12.95" customHeight="1">
      <c r="B559" s="1407" t="s">
        <v>2058</v>
      </c>
      <c r="C559" s="1408"/>
      <c r="D559" s="1408"/>
      <c r="E559" s="1408"/>
      <c r="F559" s="1408"/>
      <c r="G559" s="1408"/>
      <c r="H559" s="1408"/>
      <c r="I559" s="1408"/>
      <c r="J559" s="1408"/>
      <c r="K559" s="1408"/>
      <c r="L559" s="1409"/>
      <c r="M559" s="1407" t="s">
        <v>2059</v>
      </c>
      <c r="N559" s="1408"/>
      <c r="O559" s="1408"/>
      <c r="P559" s="1409"/>
      <c r="Q559" s="1407" t="s">
        <v>2085</v>
      </c>
      <c r="R559" s="1408"/>
      <c r="S559" s="1409"/>
      <c r="T559" s="1407" t="s">
        <v>2086</v>
      </c>
      <c r="U559" s="1408"/>
      <c r="V559" s="1409"/>
      <c r="W559" s="1407" t="s">
        <v>453</v>
      </c>
      <c r="X559" s="1408"/>
      <c r="Y559" s="1409"/>
      <c r="Z559" s="1407" t="s">
        <v>1827</v>
      </c>
      <c r="AA559" s="1408"/>
      <c r="AB559" s="1408"/>
      <c r="AC559" s="1408"/>
      <c r="AD559" s="1409"/>
      <c r="AE559" s="1407" t="s">
        <v>1664</v>
      </c>
      <c r="AF559" s="1408"/>
      <c r="AG559" s="1408"/>
      <c r="AH559" s="1409"/>
      <c r="AI559" s="1407" t="s">
        <v>1665</v>
      </c>
      <c r="AJ559" s="1408"/>
      <c r="AK559" s="1408"/>
      <c r="AL559" s="1409"/>
      <c r="AM559" s="1407" t="s">
        <v>454</v>
      </c>
      <c r="AN559" s="1408"/>
      <c r="AO559" s="1408"/>
      <c r="AP559" s="1408"/>
      <c r="AQ559" s="1408"/>
      <c r="AR559" s="1408"/>
      <c r="AS559" s="1409"/>
      <c r="BB559" s="3"/>
      <c r="BC559" s="3"/>
      <c r="BD559" s="3"/>
      <c r="BE559" s="3"/>
      <c r="BF559" s="3"/>
      <c r="BG559" s="3"/>
      <c r="BH559" s="3" t="s">
        <v>581</v>
      </c>
      <c r="BI559" s="3" t="str">
        <f>AG665</f>
        <v>No</v>
      </c>
    </row>
    <row r="560" spans="1:66" ht="12.95" customHeight="1">
      <c r="B560" s="1410"/>
      <c r="C560" s="1411"/>
      <c r="D560" s="1411"/>
      <c r="E560" s="1411"/>
      <c r="F560" s="1411"/>
      <c r="G560" s="1411"/>
      <c r="H560" s="1411"/>
      <c r="I560" s="1411"/>
      <c r="J560" s="1411"/>
      <c r="K560" s="1411"/>
      <c r="L560" s="1412"/>
      <c r="M560" s="1410"/>
      <c r="N560" s="1411"/>
      <c r="O560" s="1411"/>
      <c r="P560" s="1412"/>
      <c r="Q560" s="1410"/>
      <c r="R560" s="1411"/>
      <c r="S560" s="1412"/>
      <c r="T560" s="1410"/>
      <c r="U560" s="1411"/>
      <c r="V560" s="1412"/>
      <c r="W560" s="1410"/>
      <c r="X560" s="1411"/>
      <c r="Y560" s="1412"/>
      <c r="Z560" s="1410"/>
      <c r="AA560" s="1411"/>
      <c r="AB560" s="1411"/>
      <c r="AC560" s="1411"/>
      <c r="AD560" s="1412"/>
      <c r="AE560" s="1410"/>
      <c r="AF560" s="1411"/>
      <c r="AG560" s="1411"/>
      <c r="AH560" s="1412"/>
      <c r="AI560" s="1410"/>
      <c r="AJ560" s="1411"/>
      <c r="AK560" s="1411"/>
      <c r="AL560" s="1412"/>
      <c r="AM560" s="1410"/>
      <c r="AN560" s="1411"/>
      <c r="AO560" s="1411"/>
      <c r="AP560" s="1411"/>
      <c r="AQ560" s="1411"/>
      <c r="AR560" s="1411"/>
      <c r="AS560" s="1412"/>
      <c r="AU560" s="1141"/>
      <c r="BB560" s="3"/>
      <c r="BC560" s="3"/>
      <c r="BD560" s="3"/>
      <c r="BE560" s="3"/>
      <c r="BF560" s="3"/>
      <c r="BG560" s="3"/>
      <c r="BH560" s="3"/>
      <c r="BI560" s="3"/>
    </row>
    <row r="561" spans="1:61" ht="12.95" customHeight="1">
      <c r="B561" s="1413"/>
      <c r="C561" s="1414"/>
      <c r="D561" s="1414"/>
      <c r="E561" s="1414"/>
      <c r="F561" s="1414"/>
      <c r="G561" s="1414"/>
      <c r="H561" s="1414"/>
      <c r="I561" s="1414"/>
      <c r="J561" s="1414"/>
      <c r="K561" s="1414"/>
      <c r="L561" s="1415"/>
      <c r="M561" s="1413"/>
      <c r="N561" s="1414"/>
      <c r="O561" s="1414"/>
      <c r="P561" s="1415"/>
      <c r="Q561" s="1413"/>
      <c r="R561" s="1414"/>
      <c r="S561" s="1415"/>
      <c r="T561" s="1413"/>
      <c r="U561" s="1414"/>
      <c r="V561" s="1415"/>
      <c r="W561" s="1413"/>
      <c r="X561" s="1414"/>
      <c r="Y561" s="1415"/>
      <c r="Z561" s="1413"/>
      <c r="AA561" s="1414"/>
      <c r="AB561" s="1414"/>
      <c r="AC561" s="1414"/>
      <c r="AD561" s="1415"/>
      <c r="AE561" s="1413"/>
      <c r="AF561" s="1414"/>
      <c r="AG561" s="1414"/>
      <c r="AH561" s="1415"/>
      <c r="AI561" s="1413"/>
      <c r="AJ561" s="1414"/>
      <c r="AK561" s="1414"/>
      <c r="AL561" s="1415"/>
      <c r="AM561" s="1413"/>
      <c r="AN561" s="1414"/>
      <c r="AO561" s="1414"/>
      <c r="AP561" s="1414"/>
      <c r="AQ561" s="1414"/>
      <c r="AR561" s="1414"/>
      <c r="AS561" s="1415"/>
      <c r="AU561" s="1141"/>
      <c r="BB561" s="3"/>
      <c r="BC561" s="3"/>
      <c r="BD561" s="3"/>
      <c r="BE561" s="3"/>
      <c r="BF561" s="3"/>
      <c r="BG561" s="3"/>
      <c r="BH561" s="3"/>
      <c r="BI561" s="3"/>
    </row>
    <row r="562" spans="1:61" ht="12.95" customHeight="1">
      <c r="B562" s="51" t="s">
        <v>112</v>
      </c>
      <c r="C562" s="1450" t="s">
        <v>2738</v>
      </c>
      <c r="D562" s="1450"/>
      <c r="E562" s="1450"/>
      <c r="F562" s="1450"/>
      <c r="G562" s="1450"/>
      <c r="H562" s="1450"/>
      <c r="I562" s="1450"/>
      <c r="J562" s="1450"/>
      <c r="K562" s="1450"/>
      <c r="L562" s="1450"/>
      <c r="M562" s="1450" t="s">
        <v>2075</v>
      </c>
      <c r="N562" s="1450"/>
      <c r="O562" s="1450"/>
      <c r="P562" s="1450"/>
      <c r="Q562" s="1439">
        <v>26</v>
      </c>
      <c r="R562" s="1439"/>
      <c r="S562" s="1440"/>
      <c r="T562" s="1438"/>
      <c r="U562" s="1439"/>
      <c r="V562" s="1440"/>
      <c r="W562" s="1444">
        <v>5.5E-2</v>
      </c>
      <c r="X562" s="1445"/>
      <c r="Y562" s="1446"/>
      <c r="Z562" s="1395" t="s">
        <v>2718</v>
      </c>
      <c r="AA562" s="1395"/>
      <c r="AB562" s="1395"/>
      <c r="AC562" s="1395"/>
      <c r="AD562" s="1395"/>
      <c r="AE562" s="1423"/>
      <c r="AF562" s="1424"/>
      <c r="AG562" s="1424"/>
      <c r="AH562" s="1425"/>
      <c r="AI562" s="1441"/>
      <c r="AJ562" s="1442"/>
      <c r="AK562" s="1442"/>
      <c r="AL562" s="1443"/>
      <c r="AM562" s="1384">
        <f>14728320</f>
        <v>14728320</v>
      </c>
      <c r="AN562" s="1385"/>
      <c r="AO562" s="1385"/>
      <c r="AP562" s="1385"/>
      <c r="AQ562" s="1385"/>
      <c r="AR562" s="1385"/>
      <c r="AS562" s="1386"/>
      <c r="AT562" s="1142"/>
      <c r="AU562" s="1141"/>
      <c r="BB562" s="3"/>
      <c r="BC562" s="3"/>
      <c r="BD562" s="3"/>
      <c r="BE562" s="3"/>
      <c r="BF562" s="3"/>
      <c r="BG562" s="3"/>
      <c r="BH562" s="3"/>
      <c r="BI562" s="3"/>
    </row>
    <row r="563" spans="1:61" ht="12.95" customHeight="1">
      <c r="B563" s="52" t="s">
        <v>113</v>
      </c>
      <c r="C563" s="1449" t="s">
        <v>2739</v>
      </c>
      <c r="D563" s="1449"/>
      <c r="E563" s="1449"/>
      <c r="F563" s="1449"/>
      <c r="G563" s="1449"/>
      <c r="H563" s="1449"/>
      <c r="I563" s="1449"/>
      <c r="J563" s="1449"/>
      <c r="K563" s="1449"/>
      <c r="L563" s="1449"/>
      <c r="M563" s="1450" t="s">
        <v>2074</v>
      </c>
      <c r="N563" s="1450"/>
      <c r="O563" s="1450"/>
      <c r="P563" s="1450"/>
      <c r="Q563" s="1438">
        <v>26</v>
      </c>
      <c r="R563" s="1439"/>
      <c r="S563" s="1440"/>
      <c r="T563" s="1438"/>
      <c r="U563" s="1439"/>
      <c r="V563" s="1440"/>
      <c r="W563" s="1444">
        <v>6.3E-2</v>
      </c>
      <c r="X563" s="1445"/>
      <c r="Y563" s="1446"/>
      <c r="Z563" s="1395" t="s">
        <v>2718</v>
      </c>
      <c r="AA563" s="1395"/>
      <c r="AB563" s="1395"/>
      <c r="AC563" s="1395"/>
      <c r="AD563" s="1395"/>
      <c r="AE563" s="1423"/>
      <c r="AF563" s="1424"/>
      <c r="AG563" s="1424"/>
      <c r="AH563" s="1425"/>
      <c r="AI563" s="1441"/>
      <c r="AJ563" s="1442"/>
      <c r="AK563" s="1442"/>
      <c r="AL563" s="1443"/>
      <c r="AM563" s="1384">
        <f>42512711-AM562-AM564</f>
        <v>22084391</v>
      </c>
      <c r="AN563" s="1385"/>
      <c r="AO563" s="1385"/>
      <c r="AP563" s="1385"/>
      <c r="AQ563" s="1385"/>
      <c r="AR563" s="1385"/>
      <c r="AS563" s="1386"/>
      <c r="AT563" s="1142" t="str">
        <f>IF(AND(NOT(C562=""),C563="",NOT(C564="")),"!","")</f>
        <v/>
      </c>
      <c r="AU563" s="1141"/>
      <c r="BB563" s="3"/>
      <c r="BC563" s="3"/>
      <c r="BD563" s="3"/>
      <c r="BE563" s="3"/>
      <c r="BF563" s="3"/>
      <c r="BG563" s="3"/>
      <c r="BH563" s="3"/>
      <c r="BI563" s="3"/>
    </row>
    <row r="564" spans="1:61" ht="12.95" customHeight="1">
      <c r="B564" s="52" t="s">
        <v>119</v>
      </c>
      <c r="C564" s="1449" t="s">
        <v>2740</v>
      </c>
      <c r="D564" s="1449"/>
      <c r="E564" s="1449"/>
      <c r="F564" s="1449"/>
      <c r="G564" s="1449"/>
      <c r="H564" s="1449"/>
      <c r="I564" s="1449"/>
      <c r="J564" s="1449"/>
      <c r="K564" s="1449"/>
      <c r="L564" s="1449"/>
      <c r="M564" s="1450" t="s">
        <v>2076</v>
      </c>
      <c r="N564" s="1450"/>
      <c r="O564" s="1450"/>
      <c r="P564" s="1450"/>
      <c r="Q564" s="1438">
        <v>26</v>
      </c>
      <c r="R564" s="1439"/>
      <c r="S564" s="1440"/>
      <c r="T564" s="1438"/>
      <c r="U564" s="1439"/>
      <c r="V564" s="1440"/>
      <c r="W564" s="1444">
        <v>5.5E-2</v>
      </c>
      <c r="X564" s="1445"/>
      <c r="Y564" s="1446"/>
      <c r="Z564" s="1395" t="s">
        <v>2718</v>
      </c>
      <c r="AA564" s="1395"/>
      <c r="AB564" s="1395"/>
      <c r="AC564" s="1395"/>
      <c r="AD564" s="1395"/>
      <c r="AE564" s="1423"/>
      <c r="AF564" s="1424"/>
      <c r="AG564" s="1424"/>
      <c r="AH564" s="1425"/>
      <c r="AI564" s="1441"/>
      <c r="AJ564" s="1442"/>
      <c r="AK564" s="1442"/>
      <c r="AL564" s="1443"/>
      <c r="AM564" s="1384">
        <v>5700000</v>
      </c>
      <c r="AN564" s="1385"/>
      <c r="AO564" s="1385"/>
      <c r="AP564" s="1385"/>
      <c r="AQ564" s="1385"/>
      <c r="AR564" s="1385"/>
      <c r="AS564" s="1386"/>
      <c r="AT564" s="1142" t="str">
        <f>IF(AND(NOT(C563=""),C564="",NOT(C565="")),"!","")</f>
        <v/>
      </c>
      <c r="AU564" s="1141"/>
      <c r="BB564" s="3"/>
      <c r="BC564" s="3"/>
      <c r="BD564" s="3"/>
      <c r="BE564" s="3"/>
      <c r="BF564" s="3"/>
      <c r="BG564" s="3"/>
      <c r="BH564" s="3"/>
      <c r="BI564" s="3"/>
    </row>
    <row r="565" spans="1:61" ht="12.95" customHeight="1">
      <c r="B565" s="52" t="s">
        <v>581</v>
      </c>
      <c r="C565" s="1449" t="s">
        <v>2735</v>
      </c>
      <c r="D565" s="1449"/>
      <c r="E565" s="1449"/>
      <c r="F565" s="1449"/>
      <c r="G565" s="1449"/>
      <c r="H565" s="1449"/>
      <c r="I565" s="1449"/>
      <c r="J565" s="1449"/>
      <c r="K565" s="1449"/>
      <c r="L565" s="1449"/>
      <c r="M565" s="1450" t="s">
        <v>2066</v>
      </c>
      <c r="N565" s="1450"/>
      <c r="O565" s="1450"/>
      <c r="P565" s="1450"/>
      <c r="Q565" s="1438"/>
      <c r="R565" s="1439"/>
      <c r="S565" s="1440"/>
      <c r="T565" s="1438"/>
      <c r="U565" s="1439"/>
      <c r="V565" s="1440"/>
      <c r="W565" s="1444"/>
      <c r="X565" s="1445"/>
      <c r="Y565" s="1446"/>
      <c r="Z565" s="1395" t="s">
        <v>591</v>
      </c>
      <c r="AA565" s="1395"/>
      <c r="AB565" s="1395"/>
      <c r="AC565" s="1395"/>
      <c r="AD565" s="1395"/>
      <c r="AE565" s="1423"/>
      <c r="AF565" s="1424"/>
      <c r="AG565" s="1424"/>
      <c r="AH565" s="1425"/>
      <c r="AI565" s="1441"/>
      <c r="AJ565" s="1442"/>
      <c r="AK565" s="1442"/>
      <c r="AL565" s="1443"/>
      <c r="AM565" s="1384">
        <v>4754083</v>
      </c>
      <c r="AN565" s="1385"/>
      <c r="AO565" s="1385"/>
      <c r="AP565" s="1385"/>
      <c r="AQ565" s="1385"/>
      <c r="AR565" s="1385"/>
      <c r="AS565" s="1386"/>
      <c r="AT565" s="1142" t="str">
        <f>IF(AND(NOT(C564=""),C565="",NOT(C566="")),"!","")</f>
        <v/>
      </c>
      <c r="AU565" s="1141"/>
      <c r="BB565" s="3"/>
      <c r="BC565" s="3"/>
      <c r="BD565" s="3"/>
      <c r="BE565" s="3"/>
      <c r="BF565" s="3"/>
      <c r="BG565" s="3"/>
      <c r="BH565" s="3"/>
      <c r="BI565" s="3"/>
    </row>
    <row r="566" spans="1:61" ht="12.95" customHeight="1">
      <c r="B566" s="52" t="s">
        <v>763</v>
      </c>
      <c r="C566" s="1449" t="s">
        <v>2719</v>
      </c>
      <c r="D566" s="1449"/>
      <c r="E566" s="1449"/>
      <c r="F566" s="1449"/>
      <c r="G566" s="1449"/>
      <c r="H566" s="1449"/>
      <c r="I566" s="1449"/>
      <c r="J566" s="1449"/>
      <c r="K566" s="1449"/>
      <c r="L566" s="1449"/>
      <c r="M566" s="1450" t="s">
        <v>2061</v>
      </c>
      <c r="N566" s="1450"/>
      <c r="O566" s="1450"/>
      <c r="P566" s="1450"/>
      <c r="Q566" s="1438"/>
      <c r="R566" s="1439"/>
      <c r="S566" s="1440"/>
      <c r="T566" s="1438"/>
      <c r="U566" s="1439"/>
      <c r="V566" s="1440"/>
      <c r="W566" s="1444"/>
      <c r="X566" s="1445"/>
      <c r="Y566" s="1446"/>
      <c r="Z566" s="1395" t="s">
        <v>591</v>
      </c>
      <c r="AA566" s="1395"/>
      <c r="AB566" s="1395"/>
      <c r="AC566" s="1395"/>
      <c r="AD566" s="1395"/>
      <c r="AE566" s="1423"/>
      <c r="AF566" s="1424"/>
      <c r="AG566" s="1424"/>
      <c r="AH566" s="1425"/>
      <c r="AI566" s="1441"/>
      <c r="AJ566" s="1442"/>
      <c r="AK566" s="1442"/>
      <c r="AL566" s="1443"/>
      <c r="AM566" s="1384">
        <f>'Sources and Uses Budget'!B105-SUM(Application!AM562:AS565)</f>
        <v>9996953</v>
      </c>
      <c r="AN566" s="1385"/>
      <c r="AO566" s="1385"/>
      <c r="AP566" s="1385"/>
      <c r="AQ566" s="1385"/>
      <c r="AR566" s="1385"/>
      <c r="AS566" s="1386"/>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449"/>
      <c r="D567" s="1449"/>
      <c r="E567" s="1449"/>
      <c r="F567" s="1449"/>
      <c r="G567" s="1449"/>
      <c r="H567" s="1449"/>
      <c r="I567" s="1449"/>
      <c r="J567" s="1449"/>
      <c r="K567" s="1449"/>
      <c r="L567" s="1449"/>
      <c r="M567" s="1450" t="s">
        <v>1183</v>
      </c>
      <c r="N567" s="1450"/>
      <c r="O567" s="1450"/>
      <c r="P567" s="1450"/>
      <c r="Q567" s="1438"/>
      <c r="R567" s="1439"/>
      <c r="S567" s="1440"/>
      <c r="T567" s="1438"/>
      <c r="U567" s="1439"/>
      <c r="V567" s="1440"/>
      <c r="W567" s="1444"/>
      <c r="X567" s="1445"/>
      <c r="Y567" s="1446"/>
      <c r="Z567" s="1395" t="s">
        <v>1183</v>
      </c>
      <c r="AA567" s="1395"/>
      <c r="AB567" s="1395"/>
      <c r="AC567" s="1395"/>
      <c r="AD567" s="1395"/>
      <c r="AE567" s="1423"/>
      <c r="AF567" s="1424"/>
      <c r="AG567" s="1424"/>
      <c r="AH567" s="1425"/>
      <c r="AI567" s="1441"/>
      <c r="AJ567" s="1442"/>
      <c r="AK567" s="1442"/>
      <c r="AL567" s="1443"/>
      <c r="AM567" s="1384"/>
      <c r="AN567" s="1385"/>
      <c r="AO567" s="1385"/>
      <c r="AP567" s="1385"/>
      <c r="AQ567" s="1385"/>
      <c r="AR567" s="1385"/>
      <c r="AS567" s="1386"/>
      <c r="AT567" s="1142" t="str">
        <f t="shared" si="2"/>
        <v/>
      </c>
      <c r="AU567" s="1141"/>
      <c r="BB567" s="3"/>
      <c r="BC567" s="3"/>
      <c r="BD567" s="3"/>
      <c r="BE567" s="3"/>
      <c r="BF567" s="3"/>
      <c r="BG567" s="3"/>
      <c r="BH567" s="3" t="s">
        <v>584</v>
      </c>
      <c r="BI567" s="3" t="str">
        <f>AG673</f>
        <v>No</v>
      </c>
    </row>
    <row r="568" spans="1:61" ht="12.95" customHeight="1">
      <c r="B568" s="52" t="s">
        <v>455</v>
      </c>
      <c r="C568" s="1449"/>
      <c r="D568" s="1449"/>
      <c r="E568" s="1449"/>
      <c r="F568" s="1449"/>
      <c r="G568" s="1449"/>
      <c r="H568" s="1449"/>
      <c r="I568" s="1449"/>
      <c r="J568" s="1449"/>
      <c r="K568" s="1449"/>
      <c r="L568" s="1449"/>
      <c r="M568" s="1450" t="s">
        <v>1183</v>
      </c>
      <c r="N568" s="1450"/>
      <c r="O568" s="1450"/>
      <c r="P568" s="1450"/>
      <c r="Q568" s="1438"/>
      <c r="R568" s="1439"/>
      <c r="S568" s="1440"/>
      <c r="T568" s="1438"/>
      <c r="U568" s="1439"/>
      <c r="V568" s="1440"/>
      <c r="W568" s="1444"/>
      <c r="X568" s="1445"/>
      <c r="Y568" s="1446"/>
      <c r="Z568" s="1395" t="s">
        <v>1183</v>
      </c>
      <c r="AA568" s="1395"/>
      <c r="AB568" s="1395"/>
      <c r="AC568" s="1395"/>
      <c r="AD568" s="1395"/>
      <c r="AE568" s="1423"/>
      <c r="AF568" s="1424"/>
      <c r="AG568" s="1424"/>
      <c r="AH568" s="1425"/>
      <c r="AI568" s="1441"/>
      <c r="AJ568" s="1442"/>
      <c r="AK568" s="1442"/>
      <c r="AL568" s="1443"/>
      <c r="AM568" s="1384"/>
      <c r="AN568" s="1385"/>
      <c r="AO568" s="1385"/>
      <c r="AP568" s="1385"/>
      <c r="AQ568" s="1385"/>
      <c r="AR568" s="1385"/>
      <c r="AS568" s="1386"/>
      <c r="AT568" s="1142" t="str">
        <f t="shared" si="2"/>
        <v/>
      </c>
      <c r="AU568" s="1141"/>
      <c r="BB568" s="3"/>
      <c r="BC568" s="3"/>
      <c r="BD568" s="3"/>
      <c r="BE568" s="3"/>
      <c r="BF568" s="3"/>
      <c r="BG568" s="3"/>
      <c r="BH568" s="3"/>
      <c r="BI568" s="3"/>
    </row>
    <row r="569" spans="1:61" ht="12.95" customHeight="1">
      <c r="B569" s="52" t="s">
        <v>456</v>
      </c>
      <c r="C569" s="1449"/>
      <c r="D569" s="1449"/>
      <c r="E569" s="1449"/>
      <c r="F569" s="1449"/>
      <c r="G569" s="1449"/>
      <c r="H569" s="1449"/>
      <c r="I569" s="1449"/>
      <c r="J569" s="1449"/>
      <c r="K569" s="1449"/>
      <c r="L569" s="1449"/>
      <c r="M569" s="1450" t="s">
        <v>1183</v>
      </c>
      <c r="N569" s="1450"/>
      <c r="O569" s="1450"/>
      <c r="P569" s="1450"/>
      <c r="Q569" s="1438"/>
      <c r="R569" s="1439"/>
      <c r="S569" s="1440"/>
      <c r="T569" s="1438"/>
      <c r="U569" s="1439"/>
      <c r="V569" s="1440"/>
      <c r="W569" s="1444"/>
      <c r="X569" s="1445"/>
      <c r="Y569" s="1446"/>
      <c r="Z569" s="1395" t="s">
        <v>1183</v>
      </c>
      <c r="AA569" s="1395"/>
      <c r="AB569" s="1395"/>
      <c r="AC569" s="1395"/>
      <c r="AD569" s="1395"/>
      <c r="AE569" s="1423"/>
      <c r="AF569" s="1424"/>
      <c r="AG569" s="1424"/>
      <c r="AH569" s="1425"/>
      <c r="AI569" s="1441"/>
      <c r="AJ569" s="1442"/>
      <c r="AK569" s="1442"/>
      <c r="AL569" s="1443"/>
      <c r="AM569" s="1384"/>
      <c r="AN569" s="1385"/>
      <c r="AO569" s="1385"/>
      <c r="AP569" s="1385"/>
      <c r="AQ569" s="1385"/>
      <c r="AR569" s="1385"/>
      <c r="AS569" s="1386"/>
      <c r="AT569" s="1142" t="str">
        <f t="shared" si="2"/>
        <v/>
      </c>
      <c r="AU569" s="1141"/>
      <c r="BB569" s="3"/>
      <c r="BC569" s="3"/>
      <c r="BD569" s="3"/>
      <c r="BE569" s="3"/>
      <c r="BF569" s="3"/>
      <c r="BG569" s="3"/>
      <c r="BH569" s="3"/>
      <c r="BI569" s="3"/>
    </row>
    <row r="570" spans="1:61" ht="12.95" customHeight="1">
      <c r="B570" s="52" t="s">
        <v>461</v>
      </c>
      <c r="C570" s="1449"/>
      <c r="D570" s="1449"/>
      <c r="E570" s="1449"/>
      <c r="F570" s="1449"/>
      <c r="G570" s="1449"/>
      <c r="H570" s="1449"/>
      <c r="I570" s="1449"/>
      <c r="J570" s="1449"/>
      <c r="K570" s="1449"/>
      <c r="L570" s="1449"/>
      <c r="M570" s="1450" t="s">
        <v>1183</v>
      </c>
      <c r="N570" s="1450"/>
      <c r="O570" s="1450"/>
      <c r="P570" s="1450"/>
      <c r="Q570" s="1438"/>
      <c r="R570" s="1439"/>
      <c r="S570" s="1440"/>
      <c r="T570" s="1438"/>
      <c r="U570" s="1439"/>
      <c r="V570" s="1440"/>
      <c r="W570" s="1444"/>
      <c r="X570" s="1445"/>
      <c r="Y570" s="1446"/>
      <c r="Z570" s="1395" t="s">
        <v>1183</v>
      </c>
      <c r="AA570" s="1395"/>
      <c r="AB570" s="1395"/>
      <c r="AC570" s="1395"/>
      <c r="AD570" s="1395"/>
      <c r="AE570" s="1423"/>
      <c r="AF570" s="1424"/>
      <c r="AG570" s="1424"/>
      <c r="AH570" s="1425"/>
      <c r="AI570" s="1441"/>
      <c r="AJ570" s="1442"/>
      <c r="AK570" s="1442"/>
      <c r="AL570" s="1443"/>
      <c r="AM570" s="1384"/>
      <c r="AN570" s="1385"/>
      <c r="AO570" s="1385"/>
      <c r="AP570" s="1385"/>
      <c r="AQ570" s="1385"/>
      <c r="AR570" s="1385"/>
      <c r="AS570" s="1386"/>
      <c r="AT570" s="1142" t="str">
        <f t="shared" si="2"/>
        <v/>
      </c>
      <c r="AU570" s="1141"/>
      <c r="BB570" s="3"/>
      <c r="BC570" s="3"/>
      <c r="BD570" s="3"/>
      <c r="BE570" s="3"/>
      <c r="BF570" s="3"/>
      <c r="BG570" s="3"/>
      <c r="BH570" s="3"/>
      <c r="BI570" s="3"/>
    </row>
    <row r="571" spans="1:61" ht="12.95" customHeight="1">
      <c r="B571" s="52" t="s">
        <v>646</v>
      </c>
      <c r="C571" s="1449"/>
      <c r="D571" s="1449"/>
      <c r="E571" s="1449"/>
      <c r="F571" s="1449"/>
      <c r="G571" s="1449"/>
      <c r="H571" s="1449"/>
      <c r="I571" s="1449"/>
      <c r="J571" s="1449"/>
      <c r="K571" s="1449"/>
      <c r="L571" s="1449"/>
      <c r="M571" s="1450" t="s">
        <v>1183</v>
      </c>
      <c r="N571" s="1450"/>
      <c r="O571" s="1450"/>
      <c r="P571" s="1450"/>
      <c r="Q571" s="1438"/>
      <c r="R571" s="1439"/>
      <c r="S571" s="1440"/>
      <c r="T571" s="1438"/>
      <c r="U571" s="1439"/>
      <c r="V571" s="1440"/>
      <c r="W571" s="1444"/>
      <c r="X571" s="1445"/>
      <c r="Y571" s="1446"/>
      <c r="Z571" s="1395" t="s">
        <v>1183</v>
      </c>
      <c r="AA571" s="1395"/>
      <c r="AB571" s="1395"/>
      <c r="AC571" s="1395"/>
      <c r="AD571" s="1395"/>
      <c r="AE571" s="1423"/>
      <c r="AF571" s="1424"/>
      <c r="AG571" s="1424"/>
      <c r="AH571" s="1425"/>
      <c r="AI571" s="1441"/>
      <c r="AJ571" s="1442"/>
      <c r="AK571" s="1442"/>
      <c r="AL571" s="1443"/>
      <c r="AM571" s="1384"/>
      <c r="AN571" s="1385"/>
      <c r="AO571" s="1385"/>
      <c r="AP571" s="1385"/>
      <c r="AQ571" s="1385"/>
      <c r="AR571" s="1385"/>
      <c r="AS571" s="1386"/>
      <c r="AT571" s="1142" t="str">
        <f t="shared" si="2"/>
        <v/>
      </c>
      <c r="BB571" s="3"/>
      <c r="BC571" s="3"/>
      <c r="BD571" s="3"/>
      <c r="BE571" s="3"/>
      <c r="BF571" s="3"/>
      <c r="BG571" s="3"/>
      <c r="BH571" s="3"/>
      <c r="BI571" s="3"/>
    </row>
    <row r="572" spans="1:61" ht="12.95" customHeight="1">
      <c r="B572" s="52" t="s">
        <v>362</v>
      </c>
      <c r="C572" s="1449"/>
      <c r="D572" s="1449"/>
      <c r="E572" s="1449"/>
      <c r="F572" s="1449"/>
      <c r="G572" s="1449"/>
      <c r="H572" s="1449"/>
      <c r="I572" s="1449"/>
      <c r="J572" s="1449"/>
      <c r="K572" s="1449"/>
      <c r="L572" s="1449"/>
      <c r="M572" s="1450" t="s">
        <v>1183</v>
      </c>
      <c r="N572" s="1450"/>
      <c r="O572" s="1450"/>
      <c r="P572" s="1450"/>
      <c r="Q572" s="1438"/>
      <c r="R572" s="1439"/>
      <c r="S572" s="1440"/>
      <c r="T572" s="1438"/>
      <c r="U572" s="1439"/>
      <c r="V572" s="1440"/>
      <c r="W572" s="1444"/>
      <c r="X572" s="1445"/>
      <c r="Y572" s="1446"/>
      <c r="Z572" s="1395" t="s">
        <v>1183</v>
      </c>
      <c r="AA572" s="1395"/>
      <c r="AB572" s="1395"/>
      <c r="AC572" s="1395"/>
      <c r="AD572" s="1395"/>
      <c r="AE572" s="1423"/>
      <c r="AF572" s="1424"/>
      <c r="AG572" s="1424"/>
      <c r="AH572" s="1425"/>
      <c r="AI572" s="1441"/>
      <c r="AJ572" s="1442"/>
      <c r="AK572" s="1442"/>
      <c r="AL572" s="1443"/>
      <c r="AM572" s="1384"/>
      <c r="AN572" s="1385"/>
      <c r="AO572" s="1385"/>
      <c r="AP572" s="1385"/>
      <c r="AQ572" s="1385"/>
      <c r="AR572" s="1385"/>
      <c r="AS572" s="1386"/>
      <c r="AT572" s="1142" t="str">
        <f t="shared" si="2"/>
        <v/>
      </c>
      <c r="BB572" s="3"/>
      <c r="BC572" s="3"/>
      <c r="BD572" s="3"/>
      <c r="BE572" s="3"/>
      <c r="BF572" s="3"/>
      <c r="BG572" s="3"/>
      <c r="BH572" s="3"/>
      <c r="BI572" s="3"/>
    </row>
    <row r="573" spans="1:61" ht="12.95" customHeight="1">
      <c r="B573" s="52" t="s">
        <v>363</v>
      </c>
      <c r="C573" s="1449"/>
      <c r="D573" s="1449"/>
      <c r="E573" s="1449"/>
      <c r="F573" s="1449"/>
      <c r="G573" s="1449"/>
      <c r="H573" s="1449"/>
      <c r="I573" s="1449"/>
      <c r="J573" s="1449"/>
      <c r="K573" s="1449"/>
      <c r="L573" s="1449"/>
      <c r="M573" s="1450" t="s">
        <v>1183</v>
      </c>
      <c r="N573" s="1450"/>
      <c r="O573" s="1450"/>
      <c r="P573" s="1450"/>
      <c r="Q573" s="1438"/>
      <c r="R573" s="1439"/>
      <c r="S573" s="1440"/>
      <c r="T573" s="1438"/>
      <c r="U573" s="1439"/>
      <c r="V573" s="1440"/>
      <c r="W573" s="1444"/>
      <c r="X573" s="1445"/>
      <c r="Y573" s="1446"/>
      <c r="Z573" s="1395" t="s">
        <v>1183</v>
      </c>
      <c r="AA573" s="1395"/>
      <c r="AB573" s="1395"/>
      <c r="AC573" s="1395"/>
      <c r="AD573" s="1395"/>
      <c r="AE573" s="1423"/>
      <c r="AF573" s="1424"/>
      <c r="AG573" s="1424"/>
      <c r="AH573" s="1425"/>
      <c r="AI573" s="1441"/>
      <c r="AJ573" s="1442"/>
      <c r="AK573" s="1442"/>
      <c r="AL573" s="1443"/>
      <c r="AM573" s="1384"/>
      <c r="AN573" s="1385"/>
      <c r="AO573" s="1385"/>
      <c r="AP573" s="1385"/>
      <c r="AQ573" s="1385"/>
      <c r="AR573" s="1385"/>
      <c r="AS573" s="1386"/>
      <c r="AT573" s="1142" t="str">
        <f t="shared" si="2"/>
        <v/>
      </c>
      <c r="BB573" s="3"/>
      <c r="BC573" s="3"/>
      <c r="BD573" s="3"/>
      <c r="BE573" s="3"/>
      <c r="BF573" s="3"/>
      <c r="BG573" s="3"/>
      <c r="BH573" s="3"/>
      <c r="BI573" s="3"/>
    </row>
    <row r="574" spans="1:61" ht="12.95" customHeight="1">
      <c r="B574" s="1419" t="s">
        <v>127</v>
      </c>
      <c r="C574" s="1420"/>
      <c r="D574" s="1420"/>
      <c r="E574" s="1420"/>
      <c r="F574" s="1420"/>
      <c r="G574" s="1420"/>
      <c r="H574" s="1420"/>
      <c r="I574" s="1420"/>
      <c r="J574" s="1420"/>
      <c r="K574" s="1420"/>
      <c r="L574" s="1420"/>
      <c r="M574" s="1420"/>
      <c r="N574" s="1420"/>
      <c r="O574" s="1420"/>
      <c r="P574" s="1420"/>
      <c r="Q574" s="1420"/>
      <c r="R574" s="1420"/>
      <c r="S574" s="1420"/>
      <c r="T574" s="1420"/>
      <c r="U574" s="1421"/>
      <c r="V574" s="1420"/>
      <c r="W574" s="1420"/>
      <c r="X574" s="1420"/>
      <c r="Y574" s="1420"/>
      <c r="Z574" s="1420"/>
      <c r="AA574" s="1420"/>
      <c r="AB574" s="1420"/>
      <c r="AC574" s="1420"/>
      <c r="AD574" s="1420"/>
      <c r="AE574" s="1420"/>
      <c r="AF574" s="1420"/>
      <c r="AG574" s="1420"/>
      <c r="AH574" s="1420"/>
      <c r="AI574" s="1420"/>
      <c r="AJ574" s="1420"/>
      <c r="AK574" s="1420"/>
      <c r="AL574" s="1422"/>
      <c r="AM574" s="1482">
        <f>SUM(AM562:AS573)</f>
        <v>57263747</v>
      </c>
      <c r="AN574" s="1483"/>
      <c r="AO574" s="1483"/>
      <c r="AP574" s="1483"/>
      <c r="AQ574" s="1483"/>
      <c r="AR574" s="1483"/>
      <c r="AS574" s="1484"/>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391" t="str">
        <f>C562</f>
        <v>Citi - Tax Exempt</v>
      </c>
      <c r="H576" s="1391"/>
      <c r="I576" s="1391"/>
      <c r="J576" s="1391"/>
      <c r="K576" s="1391"/>
      <c r="L576" s="1391"/>
      <c r="M576" s="1391"/>
      <c r="N576" s="1391"/>
      <c r="O576" s="1391"/>
      <c r="P576" s="1391"/>
      <c r="Q576" s="1391"/>
      <c r="R576" s="1391"/>
      <c r="S576" s="8"/>
      <c r="T576" s="55" t="s">
        <v>113</v>
      </c>
      <c r="U576" t="s">
        <v>463</v>
      </c>
      <c r="Z576" s="1391" t="str">
        <f>C563</f>
        <v>Citi - Taxable</v>
      </c>
      <c r="AA576" s="1391"/>
      <c r="AB576" s="1391"/>
      <c r="AC576" s="1391"/>
      <c r="AD576" s="1391"/>
      <c r="AE576" s="1391"/>
      <c r="AF576" s="1391"/>
      <c r="AG576" s="1391"/>
      <c r="AH576" s="1391"/>
      <c r="AI576" s="1391"/>
      <c r="AJ576" s="1391"/>
      <c r="AK576" s="1391"/>
      <c r="BB576" s="3"/>
      <c r="BC576" s="3"/>
      <c r="BD576" s="3"/>
      <c r="BE576" s="3"/>
      <c r="BF576" s="3"/>
      <c r="BG576" s="3"/>
      <c r="BH576" s="3"/>
      <c r="BI576" s="3"/>
    </row>
    <row r="577" spans="1:61" ht="12.95" customHeight="1">
      <c r="A577" s="22"/>
      <c r="B577" t="s">
        <v>85</v>
      </c>
      <c r="G577" s="1418" t="s">
        <v>2729</v>
      </c>
      <c r="H577" s="1418"/>
      <c r="I577" s="1418"/>
      <c r="J577" s="1418"/>
      <c r="K577" s="1418"/>
      <c r="L577" s="1418"/>
      <c r="M577" s="1418"/>
      <c r="N577" s="1418"/>
      <c r="O577" s="1418"/>
      <c r="P577" s="1418"/>
      <c r="Q577" s="1418"/>
      <c r="R577" s="1418"/>
      <c r="S577" s="8"/>
      <c r="T577" s="22"/>
      <c r="U577" t="s">
        <v>85</v>
      </c>
      <c r="Z577" s="1418" t="s">
        <v>2729</v>
      </c>
      <c r="AA577" s="1418"/>
      <c r="AB577" s="1418"/>
      <c r="AC577" s="1418"/>
      <c r="AD577" s="1418"/>
      <c r="AE577" s="1418"/>
      <c r="AF577" s="1418"/>
      <c r="AG577" s="1418"/>
      <c r="AH577" s="1418"/>
      <c r="AI577" s="1418"/>
      <c r="AJ577" s="1418"/>
      <c r="AK577" s="1418"/>
      <c r="BB577" s="3"/>
      <c r="BC577" s="3"/>
      <c r="BD577" s="3"/>
      <c r="BE577" s="3"/>
      <c r="BF577" s="3"/>
      <c r="BG577" s="3"/>
      <c r="BH577" s="3"/>
      <c r="BI577" s="3"/>
    </row>
    <row r="578" spans="1:61" ht="12.95" customHeight="1">
      <c r="A578" s="22"/>
      <c r="B578" t="s">
        <v>580</v>
      </c>
      <c r="G578" s="1418" t="s">
        <v>494</v>
      </c>
      <c r="H578" s="1418"/>
      <c r="I578" s="1418"/>
      <c r="J578" s="1418"/>
      <c r="K578" s="1418"/>
      <c r="L578" s="1418"/>
      <c r="M578" s="1418"/>
      <c r="N578" s="1418"/>
      <c r="O578" s="1418"/>
      <c r="P578" s="1418"/>
      <c r="Q578" s="1418"/>
      <c r="R578" s="1418"/>
      <c r="T578" s="22"/>
      <c r="U578" t="s">
        <v>580</v>
      </c>
      <c r="Z578" s="1470" t="s">
        <v>494</v>
      </c>
      <c r="AA578" s="1470"/>
      <c r="AB578" s="1470"/>
      <c r="AC578" s="1470"/>
      <c r="AD578" s="1470"/>
      <c r="AE578" s="1470"/>
      <c r="AF578" s="1470"/>
      <c r="AG578" s="1470"/>
      <c r="AH578" s="1470"/>
      <c r="AI578" s="1470"/>
      <c r="AJ578" s="1470"/>
      <c r="AK578" s="1470"/>
      <c r="BB578" s="3"/>
      <c r="BC578" s="3"/>
      <c r="BD578" s="3"/>
      <c r="BE578" s="3"/>
      <c r="BF578" s="3"/>
      <c r="BG578" s="3"/>
      <c r="BH578" s="3"/>
      <c r="BI578" s="3"/>
    </row>
    <row r="579" spans="1:61" ht="12.95" customHeight="1">
      <c r="A579" s="22"/>
      <c r="B579" t="s">
        <v>17</v>
      </c>
      <c r="G579" s="1418" t="s">
        <v>2730</v>
      </c>
      <c r="H579" s="1418"/>
      <c r="I579" s="1418"/>
      <c r="J579" s="1418"/>
      <c r="K579" s="1418"/>
      <c r="L579" s="1418"/>
      <c r="M579" s="1418"/>
      <c r="N579" s="1418"/>
      <c r="O579" s="1418"/>
      <c r="P579" s="1418"/>
      <c r="Q579" s="1418"/>
      <c r="R579" s="1418"/>
      <c r="S579" s="8"/>
      <c r="T579" s="22"/>
      <c r="U579" t="s">
        <v>17</v>
      </c>
      <c r="Z579" s="1470" t="s">
        <v>2730</v>
      </c>
      <c r="AA579" s="1470"/>
      <c r="AB579" s="1470"/>
      <c r="AC579" s="1470"/>
      <c r="AD579" s="1470"/>
      <c r="AE579" s="1470"/>
      <c r="AF579" s="1470"/>
      <c r="AG579" s="1470"/>
      <c r="AH579" s="1470"/>
      <c r="AI579" s="1470"/>
      <c r="AJ579" s="1470"/>
      <c r="AK579" s="1470"/>
      <c r="BB579" s="3"/>
      <c r="BC579" s="3"/>
      <c r="BD579" s="3"/>
      <c r="BE579" s="3"/>
      <c r="BF579" s="3"/>
      <c r="BG579" s="3"/>
      <c r="BH579" s="3"/>
      <c r="BI579" s="3"/>
    </row>
    <row r="580" spans="1:61" ht="12.95" customHeight="1">
      <c r="A580" s="22"/>
      <c r="B580" t="s">
        <v>316</v>
      </c>
      <c r="G580" s="1390">
        <v>2132391914</v>
      </c>
      <c r="H580" s="1390"/>
      <c r="I580" s="1390"/>
      <c r="J580" s="1390"/>
      <c r="K580" s="1390"/>
      <c r="L580" s="1390"/>
      <c r="O580" s="33" t="s">
        <v>206</v>
      </c>
      <c r="P580" s="1437"/>
      <c r="Q580" s="1437"/>
      <c r="R580" s="1437"/>
      <c r="S580" s="10"/>
      <c r="T580" s="22"/>
      <c r="U580" t="s">
        <v>316</v>
      </c>
      <c r="Z580" s="1390">
        <v>2132391914</v>
      </c>
      <c r="AA580" s="1390"/>
      <c r="AB580" s="1390"/>
      <c r="AC580" s="1390"/>
      <c r="AD580" s="1390"/>
      <c r="AE580" s="1390"/>
      <c r="AH580" s="33" t="s">
        <v>206</v>
      </c>
      <c r="AI580" s="1437"/>
      <c r="AJ580" s="1437"/>
      <c r="AK580" s="1437"/>
      <c r="BB580" s="3"/>
      <c r="BC580" s="3"/>
      <c r="BD580" s="3"/>
      <c r="BE580" s="3"/>
      <c r="BF580" s="3"/>
      <c r="BG580" s="3"/>
      <c r="BH580" s="3"/>
      <c r="BI580" s="3"/>
    </row>
    <row r="581" spans="1:61" ht="12.95" customHeight="1">
      <c r="A581" s="22"/>
      <c r="B581" t="s">
        <v>18</v>
      </c>
      <c r="H581" s="1418" t="s">
        <v>2075</v>
      </c>
      <c r="I581" s="1418"/>
      <c r="J581" s="1418"/>
      <c r="K581" s="1418"/>
      <c r="L581" s="1418"/>
      <c r="M581" s="1418"/>
      <c r="N581" s="1418"/>
      <c r="O581" s="1418"/>
      <c r="P581" s="1418"/>
      <c r="Q581" s="1418"/>
      <c r="R581" s="1418"/>
      <c r="S581" s="8"/>
      <c r="T581" s="22"/>
      <c r="U581" t="s">
        <v>18</v>
      </c>
      <c r="AA581" s="1418" t="s">
        <v>2074</v>
      </c>
      <c r="AB581" s="1418"/>
      <c r="AC581" s="1418"/>
      <c r="AD581" s="1418"/>
      <c r="AE581" s="1418"/>
      <c r="AF581" s="1418"/>
      <c r="AG581" s="1418"/>
      <c r="AH581" s="1418"/>
      <c r="AI581" s="1418"/>
      <c r="AJ581" s="1418"/>
      <c r="AK581" s="1418"/>
      <c r="BB581" s="3"/>
      <c r="BC581" s="3"/>
      <c r="BD581" s="3"/>
      <c r="BE581" s="3"/>
      <c r="BF581" s="3"/>
      <c r="BG581" s="3"/>
      <c r="BH581" s="3"/>
      <c r="BI581" s="3"/>
    </row>
    <row r="582" spans="1:61" ht="12.95" customHeight="1">
      <c r="A582" s="22"/>
      <c r="B582" s="320" t="s">
        <v>1184</v>
      </c>
      <c r="H582" s="8"/>
      <c r="I582" s="8"/>
      <c r="J582" s="8"/>
      <c r="K582" s="8"/>
      <c r="L582" s="8"/>
      <c r="M582" s="1590"/>
      <c r="N582" s="1590"/>
      <c r="O582" s="1590"/>
      <c r="P582" s="1590"/>
      <c r="Q582" s="1590"/>
      <c r="R582" s="1590"/>
      <c r="S582" s="8"/>
      <c r="T582" s="22"/>
      <c r="U582" s="320" t="s">
        <v>1184</v>
      </c>
      <c r="AA582" s="8"/>
      <c r="AB582" s="8"/>
      <c r="AC582" s="8"/>
      <c r="AD582" s="8"/>
      <c r="AE582" s="8"/>
      <c r="AF582" s="1590"/>
      <c r="AG582" s="1590"/>
      <c r="AH582" s="1590"/>
      <c r="AI582" s="1590"/>
      <c r="AJ582" s="1590"/>
      <c r="AK582" s="1590"/>
      <c r="BB582" s="3"/>
      <c r="BC582" s="3"/>
      <c r="BD582" s="3"/>
      <c r="BE582" s="3"/>
      <c r="BF582" s="3"/>
      <c r="BG582" s="3"/>
      <c r="BH582" s="3"/>
      <c r="BI582" s="3"/>
    </row>
    <row r="583" spans="1:61" ht="12.95" customHeight="1">
      <c r="A583" s="22"/>
      <c r="B583" t="s">
        <v>20</v>
      </c>
      <c r="N583" s="1426" t="s">
        <v>545</v>
      </c>
      <c r="O583" s="1426"/>
      <c r="T583" s="22"/>
      <c r="U583" t="s">
        <v>20</v>
      </c>
      <c r="AG583" s="1426" t="s">
        <v>545</v>
      </c>
      <c r="AH583" s="1426"/>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391" t="str">
        <f>C564</f>
        <v xml:space="preserve">Citi - Recycled Bonds </v>
      </c>
      <c r="H585" s="1391"/>
      <c r="I585" s="1391"/>
      <c r="J585" s="1391"/>
      <c r="K585" s="1391"/>
      <c r="L585" s="1391"/>
      <c r="M585" s="1391"/>
      <c r="N585" s="1391"/>
      <c r="O585" s="1391"/>
      <c r="P585" s="1391"/>
      <c r="Q585" s="1391"/>
      <c r="R585" s="1391"/>
      <c r="T585" s="55" t="s">
        <v>581</v>
      </c>
      <c r="U585" t="s">
        <v>463</v>
      </c>
      <c r="Z585" s="1391" t="str">
        <f>C565</f>
        <v>R4 Capital - Tax Credit Proceeds</v>
      </c>
      <c r="AA585" s="1391"/>
      <c r="AB585" s="1391"/>
      <c r="AC585" s="1391"/>
      <c r="AD585" s="1391"/>
      <c r="AE585" s="1391"/>
      <c r="AF585" s="1391"/>
      <c r="AG585" s="1391"/>
      <c r="AH585" s="1391"/>
      <c r="AI585" s="1391"/>
      <c r="AJ585" s="1391"/>
      <c r="AK585" s="1391"/>
      <c r="BB585" s="3"/>
      <c r="BC585" s="3"/>
    </row>
    <row r="586" spans="1:61" ht="12.95" customHeight="1">
      <c r="A586" s="22"/>
      <c r="B586" t="s">
        <v>85</v>
      </c>
      <c r="G586" s="1418" t="s">
        <v>2729</v>
      </c>
      <c r="H586" s="1418"/>
      <c r="I586" s="1418"/>
      <c r="J586" s="1418"/>
      <c r="K586" s="1418"/>
      <c r="L586" s="1418"/>
      <c r="M586" s="1418"/>
      <c r="N586" s="1418"/>
      <c r="O586" s="1418"/>
      <c r="P586" s="1418"/>
      <c r="Q586" s="1418"/>
      <c r="R586" s="1418"/>
      <c r="T586" s="22"/>
      <c r="U586" t="s">
        <v>85</v>
      </c>
      <c r="Z586" s="1418" t="s">
        <v>2743</v>
      </c>
      <c r="AA586" s="1418"/>
      <c r="AB586" s="1418"/>
      <c r="AC586" s="1418"/>
      <c r="AD586" s="1418"/>
      <c r="AE586" s="1418"/>
      <c r="AF586" s="1418"/>
      <c r="AG586" s="1418"/>
      <c r="AH586" s="1418"/>
      <c r="AI586" s="1418"/>
      <c r="AJ586" s="1418"/>
      <c r="AK586" s="1418"/>
      <c r="BB586" s="3"/>
      <c r="BC586" s="3"/>
    </row>
    <row r="587" spans="1:61" ht="12.95" customHeight="1">
      <c r="A587" s="22"/>
      <c r="B587" t="s">
        <v>580</v>
      </c>
      <c r="G587" s="1470" t="s">
        <v>494</v>
      </c>
      <c r="H587" s="1470"/>
      <c r="I587" s="1470"/>
      <c r="J587" s="1470"/>
      <c r="K587" s="1470"/>
      <c r="L587" s="1470"/>
      <c r="M587" s="1470"/>
      <c r="N587" s="1470"/>
      <c r="O587" s="1470"/>
      <c r="P587" s="1470"/>
      <c r="Q587" s="1470"/>
      <c r="R587" s="1470"/>
      <c r="T587" s="22"/>
      <c r="U587" t="s">
        <v>580</v>
      </c>
      <c r="Z587" s="1470" t="s">
        <v>2745</v>
      </c>
      <c r="AA587" s="1470"/>
      <c r="AB587" s="1470"/>
      <c r="AC587" s="1470"/>
      <c r="AD587" s="1470"/>
      <c r="AE587" s="1470"/>
      <c r="AF587" s="1470"/>
      <c r="AG587" s="1470"/>
      <c r="AH587" s="1470"/>
      <c r="AI587" s="1470"/>
      <c r="AJ587" s="1470"/>
      <c r="AK587" s="1470"/>
      <c r="BB587" s="3"/>
      <c r="BC587" s="3"/>
    </row>
    <row r="588" spans="1:61" ht="12.95" customHeight="1">
      <c r="A588" s="22"/>
      <c r="B588" t="s">
        <v>17</v>
      </c>
      <c r="G588" s="1470" t="s">
        <v>2730</v>
      </c>
      <c r="H588" s="1470"/>
      <c r="I588" s="1470"/>
      <c r="J588" s="1470"/>
      <c r="K588" s="1470"/>
      <c r="L588" s="1470"/>
      <c r="M588" s="1470"/>
      <c r="N588" s="1470"/>
      <c r="O588" s="1470"/>
      <c r="P588" s="1470"/>
      <c r="Q588" s="1470"/>
      <c r="R588" s="1470"/>
      <c r="T588" s="22"/>
      <c r="U588" t="s">
        <v>17</v>
      </c>
      <c r="Z588" s="1470" t="s">
        <v>2734</v>
      </c>
      <c r="AA588" s="1470"/>
      <c r="AB588" s="1470"/>
      <c r="AC588" s="1470"/>
      <c r="AD588" s="1470"/>
      <c r="AE588" s="1470"/>
      <c r="AF588" s="1470"/>
      <c r="AG588" s="1470"/>
      <c r="AH588" s="1470"/>
      <c r="AI588" s="1470"/>
      <c r="AJ588" s="1470"/>
      <c r="AK588" s="1470"/>
      <c r="BB588" s="3"/>
      <c r="BC588" s="3"/>
    </row>
    <row r="589" spans="1:61" ht="12.95" customHeight="1">
      <c r="A589" s="22"/>
      <c r="B589" t="s">
        <v>316</v>
      </c>
      <c r="G589" s="1390">
        <v>2132391914</v>
      </c>
      <c r="H589" s="1390"/>
      <c r="I589" s="1390"/>
      <c r="J589" s="1390"/>
      <c r="K589" s="1390"/>
      <c r="L589" s="1390"/>
      <c r="O589" s="33" t="s">
        <v>206</v>
      </c>
      <c r="P589" s="1437"/>
      <c r="Q589" s="1437"/>
      <c r="R589" s="1437"/>
      <c r="T589" s="22"/>
      <c r="U589" t="s">
        <v>316</v>
      </c>
      <c r="Z589" s="1390">
        <v>9494381056</v>
      </c>
      <c r="AA589" s="1390"/>
      <c r="AB589" s="1390"/>
      <c r="AC589" s="1390"/>
      <c r="AD589" s="1390"/>
      <c r="AE589" s="1390"/>
      <c r="AH589" s="33" t="s">
        <v>206</v>
      </c>
      <c r="AI589" s="1437"/>
      <c r="AJ589" s="1437"/>
      <c r="AK589" s="1437"/>
      <c r="BB589" s="3"/>
      <c r="BC589" s="3"/>
    </row>
    <row r="590" spans="1:61" ht="12.95" customHeight="1">
      <c r="A590" s="22"/>
      <c r="B590" t="s">
        <v>18</v>
      </c>
      <c r="H590" s="1418" t="s">
        <v>2076</v>
      </c>
      <c r="I590" s="1418"/>
      <c r="J590" s="1418"/>
      <c r="K590" s="1418"/>
      <c r="L590" s="1418"/>
      <c r="M590" s="1418"/>
      <c r="N590" s="1418"/>
      <c r="O590" s="1418"/>
      <c r="P590" s="1418"/>
      <c r="Q590" s="1418"/>
      <c r="R590" s="1418"/>
      <c r="T590" s="22"/>
      <c r="U590" t="s">
        <v>18</v>
      </c>
      <c r="AA590" s="1418" t="s">
        <v>2746</v>
      </c>
      <c r="AB590" s="1418"/>
      <c r="AC590" s="1418"/>
      <c r="AD590" s="1418"/>
      <c r="AE590" s="1418"/>
      <c r="AF590" s="1418"/>
      <c r="AG590" s="1418"/>
      <c r="AH590" s="1418"/>
      <c r="AI590" s="1418"/>
      <c r="AJ590" s="1418"/>
      <c r="AK590" s="1418"/>
      <c r="BB590" s="3"/>
      <c r="BC590" s="3"/>
    </row>
    <row r="591" spans="1:61" ht="12.95" customHeight="1">
      <c r="A591" s="22"/>
      <c r="B591" t="s">
        <v>20</v>
      </c>
      <c r="N591" s="1426" t="s">
        <v>545</v>
      </c>
      <c r="O591" s="1426"/>
      <c r="T591" s="22"/>
      <c r="U591" t="s">
        <v>20</v>
      </c>
      <c r="AG591" s="1426" t="s">
        <v>545</v>
      </c>
      <c r="AH591" s="1426"/>
      <c r="BB591" s="3"/>
      <c r="BC591" s="3"/>
    </row>
    <row r="592" spans="1:61" ht="12.95" customHeight="1">
      <c r="A592" s="22"/>
      <c r="T592" s="22"/>
      <c r="BB592" s="3"/>
      <c r="BC592" s="3"/>
    </row>
    <row r="593" spans="1:55" ht="12.95" customHeight="1">
      <c r="A593" s="55" t="s">
        <v>763</v>
      </c>
      <c r="B593" t="s">
        <v>463</v>
      </c>
      <c r="G593" s="1391" t="str">
        <f>C566</f>
        <v>Deferred Costs</v>
      </c>
      <c r="H593" s="1391"/>
      <c r="I593" s="1391"/>
      <c r="J593" s="1391"/>
      <c r="K593" s="1391"/>
      <c r="L593" s="1391"/>
      <c r="M593" s="1391"/>
      <c r="N593" s="1391"/>
      <c r="O593" s="1391"/>
      <c r="P593" s="1391"/>
      <c r="Q593" s="1391"/>
      <c r="R593" s="1391"/>
      <c r="T593" s="55" t="s">
        <v>584</v>
      </c>
      <c r="U593" t="s">
        <v>463</v>
      </c>
      <c r="Z593" s="1391">
        <f>C567</f>
        <v>0</v>
      </c>
      <c r="AA593" s="1391"/>
      <c r="AB593" s="1391"/>
      <c r="AC593" s="1391"/>
      <c r="AD593" s="1391"/>
      <c r="AE593" s="1391"/>
      <c r="AF593" s="1391"/>
      <c r="AG593" s="1391"/>
      <c r="AH593" s="1391"/>
      <c r="AI593" s="1391"/>
      <c r="AJ593" s="1391"/>
      <c r="AK593" s="1391"/>
      <c r="BB593" s="3"/>
      <c r="BC593" s="3"/>
    </row>
    <row r="594" spans="1:55" ht="12.95" customHeight="1">
      <c r="A594" s="22"/>
      <c r="B594" t="s">
        <v>85</v>
      </c>
      <c r="G594" s="1418" t="s">
        <v>2668</v>
      </c>
      <c r="H594" s="1418"/>
      <c r="I594" s="1418"/>
      <c r="J594" s="1418"/>
      <c r="K594" s="1418"/>
      <c r="L594" s="1418"/>
      <c r="M594" s="1418"/>
      <c r="N594" s="1418"/>
      <c r="O594" s="1418"/>
      <c r="P594" s="1418"/>
      <c r="Q594" s="1418"/>
      <c r="R594" s="1418"/>
      <c r="T594" s="22"/>
      <c r="U594" t="s">
        <v>85</v>
      </c>
      <c r="Z594" s="1418"/>
      <c r="AA594" s="1418"/>
      <c r="AB594" s="1418"/>
      <c r="AC594" s="1418"/>
      <c r="AD594" s="1418"/>
      <c r="AE594" s="1418"/>
      <c r="AF594" s="1418"/>
      <c r="AG594" s="1418"/>
      <c r="AH594" s="1418"/>
      <c r="AI594" s="1418"/>
      <c r="AJ594" s="1418"/>
      <c r="AK594" s="1418"/>
      <c r="BB594" s="3"/>
      <c r="BC594" s="3"/>
    </row>
    <row r="595" spans="1:55" ht="12.95" customHeight="1">
      <c r="A595" s="22"/>
      <c r="B595" t="s">
        <v>580</v>
      </c>
      <c r="G595" s="1418" t="s">
        <v>494</v>
      </c>
      <c r="H595" s="1418"/>
      <c r="I595" s="1418"/>
      <c r="J595" s="1418"/>
      <c r="K595" s="1418"/>
      <c r="L595" s="1418"/>
      <c r="M595" s="1418"/>
      <c r="N595" s="1418"/>
      <c r="O595" s="1418"/>
      <c r="P595" s="1418"/>
      <c r="Q595" s="1418"/>
      <c r="R595" s="1418"/>
      <c r="T595" s="22"/>
      <c r="U595" t="s">
        <v>580</v>
      </c>
      <c r="Z595" s="1470"/>
      <c r="AA595" s="1470"/>
      <c r="AB595" s="1470"/>
      <c r="AC595" s="1470"/>
      <c r="AD595" s="1470"/>
      <c r="AE595" s="1470"/>
      <c r="AF595" s="1470"/>
      <c r="AG595" s="1470"/>
      <c r="AH595" s="1470"/>
      <c r="AI595" s="1470"/>
      <c r="AJ595" s="1470"/>
      <c r="AK595" s="1470"/>
      <c r="BB595" s="3"/>
      <c r="BC595" s="3"/>
    </row>
    <row r="596" spans="1:55" ht="12.95" customHeight="1">
      <c r="A596" s="22"/>
      <c r="B596" t="s">
        <v>17</v>
      </c>
      <c r="G596" s="1418" t="s">
        <v>2655</v>
      </c>
      <c r="H596" s="1418"/>
      <c r="I596" s="1418"/>
      <c r="J596" s="1418"/>
      <c r="K596" s="1418"/>
      <c r="L596" s="1418"/>
      <c r="M596" s="1418"/>
      <c r="N596" s="1418"/>
      <c r="O596" s="1418"/>
      <c r="P596" s="1418"/>
      <c r="Q596" s="1418"/>
      <c r="R596" s="1418"/>
      <c r="T596" s="22"/>
      <c r="U596" t="s">
        <v>17</v>
      </c>
      <c r="Z596" s="1470"/>
      <c r="AA596" s="1470"/>
      <c r="AB596" s="1470"/>
      <c r="AC596" s="1470"/>
      <c r="AD596" s="1470"/>
      <c r="AE596" s="1470"/>
      <c r="AF596" s="1470"/>
      <c r="AG596" s="1470"/>
      <c r="AH596" s="1470"/>
      <c r="AI596" s="1470"/>
      <c r="AJ596" s="1470"/>
      <c r="AK596" s="1470"/>
    </row>
    <row r="597" spans="1:55" ht="12.95" customHeight="1">
      <c r="A597" s="22"/>
      <c r="B597" t="s">
        <v>316</v>
      </c>
      <c r="G597" s="1390">
        <v>2134868917</v>
      </c>
      <c r="H597" s="1390"/>
      <c r="I597" s="1390"/>
      <c r="J597" s="1390"/>
      <c r="K597" s="1390"/>
      <c r="L597" s="1390"/>
      <c r="O597" s="33" t="s">
        <v>206</v>
      </c>
      <c r="P597" s="1437"/>
      <c r="Q597" s="1437"/>
      <c r="R597" s="1437"/>
      <c r="T597" s="22"/>
      <c r="U597" t="s">
        <v>316</v>
      </c>
      <c r="Z597" s="1390"/>
      <c r="AA597" s="1390"/>
      <c r="AB597" s="1390"/>
      <c r="AC597" s="1390"/>
      <c r="AD597" s="1390"/>
      <c r="AE597" s="1390"/>
      <c r="AH597" s="33" t="s">
        <v>206</v>
      </c>
      <c r="AI597" s="1437"/>
      <c r="AJ597" s="1437"/>
      <c r="AK597" s="1437"/>
      <c r="AZ597" s="3"/>
      <c r="BA597" s="3"/>
      <c r="BB597" s="3"/>
      <c r="BC597" s="3"/>
    </row>
    <row r="598" spans="1:55" ht="12.95" customHeight="1">
      <c r="A598" s="22"/>
      <c r="B598" t="s">
        <v>18</v>
      </c>
      <c r="H598" s="1418" t="s">
        <v>2720</v>
      </c>
      <c r="I598" s="1418"/>
      <c r="J598" s="1418"/>
      <c r="K598" s="1418"/>
      <c r="L598" s="1418"/>
      <c r="M598" s="1418"/>
      <c r="N598" s="1418"/>
      <c r="O598" s="1418"/>
      <c r="P598" s="1418"/>
      <c r="Q598" s="1418"/>
      <c r="R598" s="1418"/>
      <c r="T598" s="22"/>
      <c r="U598" t="s">
        <v>18</v>
      </c>
      <c r="AA598" s="1418"/>
      <c r="AB598" s="1418"/>
      <c r="AC598" s="1418"/>
      <c r="AD598" s="1418"/>
      <c r="AE598" s="1418"/>
      <c r="AF598" s="1418"/>
      <c r="AG598" s="1418"/>
      <c r="AH598" s="1418"/>
      <c r="AI598" s="1418"/>
      <c r="AJ598" s="1418"/>
      <c r="AK598" s="1418"/>
      <c r="AZ598" s="3"/>
      <c r="BA598" s="3"/>
      <c r="BB598" s="3"/>
      <c r="BC598" s="3"/>
    </row>
    <row r="599" spans="1:55" ht="12.95" customHeight="1">
      <c r="A599" s="22"/>
      <c r="B599" t="s">
        <v>20</v>
      </c>
      <c r="N599" s="1426" t="s">
        <v>545</v>
      </c>
      <c r="O599" s="1426"/>
      <c r="T599" s="22"/>
      <c r="U599" t="s">
        <v>20</v>
      </c>
      <c r="AG599" s="1426" t="s">
        <v>669</v>
      </c>
      <c r="AH599" s="1426"/>
      <c r="AZ599" s="3"/>
      <c r="BA599" s="3"/>
      <c r="BB599" s="3"/>
      <c r="BC599" s="3"/>
    </row>
    <row r="600" spans="1:55" ht="12.95" customHeight="1">
      <c r="A600" s="22"/>
      <c r="T600" s="22"/>
      <c r="AZ600" s="3"/>
      <c r="BA600" s="3"/>
      <c r="BB600" s="3"/>
      <c r="BC600" s="3"/>
    </row>
    <row r="601" spans="1:55" ht="12.95" customHeight="1">
      <c r="A601" s="55" t="s">
        <v>455</v>
      </c>
      <c r="B601" t="s">
        <v>463</v>
      </c>
      <c r="G601" s="1391">
        <f>C568</f>
        <v>0</v>
      </c>
      <c r="H601" s="1391"/>
      <c r="I601" s="1391"/>
      <c r="J601" s="1391"/>
      <c r="K601" s="1391"/>
      <c r="L601" s="1391"/>
      <c r="M601" s="1391"/>
      <c r="N601" s="1391"/>
      <c r="O601" s="1391"/>
      <c r="P601" s="1391"/>
      <c r="Q601" s="1391"/>
      <c r="R601" s="1391"/>
      <c r="T601" s="55" t="s">
        <v>456</v>
      </c>
      <c r="U601" t="s">
        <v>463</v>
      </c>
      <c r="Z601" s="1391">
        <f>C569</f>
        <v>0</v>
      </c>
      <c r="AA601" s="1391"/>
      <c r="AB601" s="1391"/>
      <c r="AC601" s="1391"/>
      <c r="AD601" s="1391"/>
      <c r="AE601" s="1391"/>
      <c r="AF601" s="1391"/>
      <c r="AG601" s="1391"/>
      <c r="AH601" s="1391"/>
      <c r="AI601" s="1391"/>
      <c r="AJ601" s="1391"/>
      <c r="AK601" s="1391"/>
      <c r="AZ601" s="3"/>
      <c r="BA601" s="3"/>
      <c r="BB601" s="3"/>
      <c r="BC601" s="3"/>
    </row>
    <row r="602" spans="1:55" s="4" customFormat="1" ht="12.95" customHeight="1">
      <c r="A602" s="22"/>
      <c r="B602" t="s">
        <v>85</v>
      </c>
      <c r="C602"/>
      <c r="D602"/>
      <c r="E602"/>
      <c r="F602"/>
      <c r="G602" s="1418"/>
      <c r="H602" s="1418"/>
      <c r="I602" s="1418"/>
      <c r="J602" s="1418"/>
      <c r="K602" s="1418"/>
      <c r="L602" s="1418"/>
      <c r="M602" s="1418"/>
      <c r="N602" s="1418"/>
      <c r="O602" s="1418"/>
      <c r="P602" s="1418"/>
      <c r="Q602" s="1418"/>
      <c r="R602" s="1418"/>
      <c r="S602"/>
      <c r="T602" s="22"/>
      <c r="U602" t="s">
        <v>85</v>
      </c>
      <c r="V602"/>
      <c r="W602"/>
      <c r="X602"/>
      <c r="Y602"/>
      <c r="Z602" s="1418"/>
      <c r="AA602" s="1418"/>
      <c r="AB602" s="1418"/>
      <c r="AC602" s="1418"/>
      <c r="AD602" s="1418"/>
      <c r="AE602" s="1418"/>
      <c r="AF602" s="1418"/>
      <c r="AG602" s="1418"/>
      <c r="AH602" s="1418"/>
      <c r="AI602" s="1418"/>
      <c r="AJ602" s="1418"/>
      <c r="AK602" s="1418"/>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18"/>
      <c r="H603" s="1418"/>
      <c r="I603" s="1418"/>
      <c r="J603" s="1418"/>
      <c r="K603" s="1418"/>
      <c r="L603" s="1418"/>
      <c r="M603" s="1418"/>
      <c r="N603" s="1418"/>
      <c r="O603" s="1418"/>
      <c r="P603" s="1418"/>
      <c r="Q603" s="1418"/>
      <c r="R603" s="1418"/>
      <c r="S603"/>
      <c r="T603" s="22"/>
      <c r="U603" t="s">
        <v>580</v>
      </c>
      <c r="V603"/>
      <c r="W603"/>
      <c r="X603"/>
      <c r="Y603"/>
      <c r="Z603" s="1470"/>
      <c r="AA603" s="1470"/>
      <c r="AB603" s="1470"/>
      <c r="AC603" s="1470"/>
      <c r="AD603" s="1470"/>
      <c r="AE603" s="1470"/>
      <c r="AF603" s="1470"/>
      <c r="AG603" s="1470"/>
      <c r="AH603" s="1470"/>
      <c r="AI603" s="1470"/>
      <c r="AJ603" s="1470"/>
      <c r="AK603" s="1470"/>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18"/>
      <c r="H604" s="1418"/>
      <c r="I604" s="1418"/>
      <c r="J604" s="1418"/>
      <c r="K604" s="1418"/>
      <c r="L604" s="1418"/>
      <c r="M604" s="1418"/>
      <c r="N604" s="1418"/>
      <c r="O604" s="1418"/>
      <c r="P604" s="1418"/>
      <c r="Q604" s="1418"/>
      <c r="R604" s="1418"/>
      <c r="S604"/>
      <c r="T604" s="22"/>
      <c r="U604" t="s">
        <v>17</v>
      </c>
      <c r="V604"/>
      <c r="W604"/>
      <c r="X604"/>
      <c r="Y604"/>
      <c r="Z604" s="1470"/>
      <c r="AA604" s="1470"/>
      <c r="AB604" s="1470"/>
      <c r="AC604" s="1470"/>
      <c r="AD604" s="1470"/>
      <c r="AE604" s="1470"/>
      <c r="AF604" s="1470"/>
      <c r="AG604" s="1470"/>
      <c r="AH604" s="1470"/>
      <c r="AI604" s="1470"/>
      <c r="AJ604" s="1470"/>
      <c r="AK604" s="1470"/>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90"/>
      <c r="H605" s="1390"/>
      <c r="I605" s="1390"/>
      <c r="J605" s="1390"/>
      <c r="K605" s="1390"/>
      <c r="L605" s="1390"/>
      <c r="M605"/>
      <c r="N605"/>
      <c r="O605" s="33" t="s">
        <v>206</v>
      </c>
      <c r="P605" s="1437"/>
      <c r="Q605" s="1437"/>
      <c r="R605" s="1437"/>
      <c r="S605"/>
      <c r="T605" s="22"/>
      <c r="U605" t="s">
        <v>316</v>
      </c>
      <c r="V605"/>
      <c r="W605"/>
      <c r="X605"/>
      <c r="Y605"/>
      <c r="Z605" s="1390"/>
      <c r="AA605" s="1390"/>
      <c r="AB605" s="1390"/>
      <c r="AC605" s="1390"/>
      <c r="AD605" s="1390"/>
      <c r="AE605" s="1390"/>
      <c r="AF605"/>
      <c r="AG605"/>
      <c r="AH605" s="33" t="s">
        <v>206</v>
      </c>
      <c r="AI605" s="1437"/>
      <c r="AJ605" s="1437"/>
      <c r="AK605" s="1437"/>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18"/>
      <c r="I606" s="1418"/>
      <c r="J606" s="1418"/>
      <c r="K606" s="1418"/>
      <c r="L606" s="1418"/>
      <c r="M606" s="1418"/>
      <c r="N606" s="1418"/>
      <c r="O606" s="1418"/>
      <c r="P606" s="1418"/>
      <c r="Q606" s="1418"/>
      <c r="R606" s="1418"/>
      <c r="S606"/>
      <c r="T606" s="22"/>
      <c r="U606" t="s">
        <v>18</v>
      </c>
      <c r="V606"/>
      <c r="W606"/>
      <c r="X606"/>
      <c r="Y606"/>
      <c r="Z606"/>
      <c r="AA606" s="1418"/>
      <c r="AB606" s="1418"/>
      <c r="AC606" s="1418"/>
      <c r="AD606" s="1418"/>
      <c r="AE606" s="1418"/>
      <c r="AF606" s="1418"/>
      <c r="AG606" s="1418"/>
      <c r="AH606" s="1418"/>
      <c r="AI606" s="1418"/>
      <c r="AJ606" s="1418"/>
      <c r="AK606" s="1418"/>
      <c r="AL606"/>
      <c r="AM606"/>
      <c r="AN606"/>
      <c r="AO606"/>
      <c r="AP606"/>
      <c r="AQ606"/>
      <c r="AR606"/>
      <c r="AS606"/>
      <c r="AT606"/>
      <c r="AU606"/>
      <c r="AV606"/>
      <c r="AW606"/>
      <c r="AX606"/>
      <c r="AY606"/>
      <c r="BB606" s="3"/>
      <c r="BC606" s="3"/>
    </row>
    <row r="607" spans="1:55" ht="12.95" customHeight="1">
      <c r="A607" s="22"/>
      <c r="B607" t="s">
        <v>20</v>
      </c>
      <c r="N607" s="1426" t="s">
        <v>669</v>
      </c>
      <c r="O607" s="1426"/>
      <c r="T607" s="22"/>
      <c r="U607" t="s">
        <v>20</v>
      </c>
      <c r="AG607" s="1426" t="s">
        <v>669</v>
      </c>
      <c r="AH607" s="1426"/>
      <c r="BB607" s="3"/>
      <c r="BC607" s="3"/>
    </row>
    <row r="608" spans="1:55" ht="12.95" customHeight="1">
      <c r="A608" s="22"/>
      <c r="T608" s="22"/>
      <c r="BB608" s="3"/>
      <c r="BC608" s="3"/>
    </row>
    <row r="609" spans="1:55" ht="12.95" customHeight="1">
      <c r="A609" s="55" t="s">
        <v>461</v>
      </c>
      <c r="B609" t="s">
        <v>463</v>
      </c>
      <c r="G609" s="1391">
        <f>C570</f>
        <v>0</v>
      </c>
      <c r="H609" s="1391"/>
      <c r="I609" s="1391"/>
      <c r="J609" s="1391"/>
      <c r="K609" s="1391"/>
      <c r="L609" s="1391"/>
      <c r="M609" s="1391"/>
      <c r="N609" s="1391"/>
      <c r="O609" s="1391"/>
      <c r="P609" s="1391"/>
      <c r="Q609" s="1391"/>
      <c r="R609" s="1391"/>
      <c r="T609" s="55" t="s">
        <v>646</v>
      </c>
      <c r="U609" t="s">
        <v>463</v>
      </c>
      <c r="Z609" s="1391">
        <f>C571</f>
        <v>0</v>
      </c>
      <c r="AA609" s="1391"/>
      <c r="AB609" s="1391"/>
      <c r="AC609" s="1391"/>
      <c r="AD609" s="1391"/>
      <c r="AE609" s="1391"/>
      <c r="AF609" s="1391"/>
      <c r="AG609" s="1391"/>
      <c r="AH609" s="1391"/>
      <c r="AI609" s="1391"/>
      <c r="AJ609" s="1391"/>
      <c r="AK609" s="1391"/>
      <c r="BB609" s="3"/>
      <c r="BC609" s="3"/>
    </row>
    <row r="610" spans="1:55" ht="12.95" customHeight="1">
      <c r="A610" s="22"/>
      <c r="B610" t="s">
        <v>85</v>
      </c>
      <c r="G610" s="1418"/>
      <c r="H610" s="1418"/>
      <c r="I610" s="1418"/>
      <c r="J610" s="1418"/>
      <c r="K610" s="1418"/>
      <c r="L610" s="1418"/>
      <c r="M610" s="1418"/>
      <c r="N610" s="1418"/>
      <c r="O610" s="1418"/>
      <c r="P610" s="1418"/>
      <c r="Q610" s="1418"/>
      <c r="R610" s="1418"/>
      <c r="T610" s="22"/>
      <c r="U610" t="s">
        <v>85</v>
      </c>
      <c r="Z610" s="1418"/>
      <c r="AA610" s="1418"/>
      <c r="AB610" s="1418"/>
      <c r="AC610" s="1418"/>
      <c r="AD610" s="1418"/>
      <c r="AE610" s="1418"/>
      <c r="AF610" s="1418"/>
      <c r="AG610" s="1418"/>
      <c r="AH610" s="1418"/>
      <c r="AI610" s="1418"/>
      <c r="AJ610" s="1418"/>
      <c r="AK610" s="1418"/>
      <c r="AZ610" s="3"/>
      <c r="BA610" s="3"/>
      <c r="BB610" s="3"/>
      <c r="BC610" s="3"/>
    </row>
    <row r="611" spans="1:55" ht="12.95" customHeight="1">
      <c r="A611" s="22"/>
      <c r="B611" t="s">
        <v>580</v>
      </c>
      <c r="G611" s="1418"/>
      <c r="H611" s="1418"/>
      <c r="I611" s="1418"/>
      <c r="J611" s="1418"/>
      <c r="K611" s="1418"/>
      <c r="L611" s="1418"/>
      <c r="M611" s="1418"/>
      <c r="N611" s="1418"/>
      <c r="O611" s="1418"/>
      <c r="P611" s="1418"/>
      <c r="Q611" s="1418"/>
      <c r="R611" s="1418"/>
      <c r="T611" s="22"/>
      <c r="U611" t="s">
        <v>580</v>
      </c>
      <c r="Z611" s="1470"/>
      <c r="AA611" s="1470"/>
      <c r="AB611" s="1470"/>
      <c r="AC611" s="1470"/>
      <c r="AD611" s="1470"/>
      <c r="AE611" s="1470"/>
      <c r="AF611" s="1470"/>
      <c r="AG611" s="1470"/>
      <c r="AH611" s="1470"/>
      <c r="AI611" s="1470"/>
      <c r="AJ611" s="1470"/>
      <c r="AK611" s="1470"/>
      <c r="AZ611" s="3"/>
      <c r="BA611" s="3"/>
      <c r="BB611" s="3"/>
      <c r="BC611" s="3"/>
    </row>
    <row r="612" spans="1:55" ht="12.95" customHeight="1">
      <c r="A612" s="22"/>
      <c r="B612" t="s">
        <v>17</v>
      </c>
      <c r="G612" s="1418"/>
      <c r="H612" s="1418"/>
      <c r="I612" s="1418"/>
      <c r="J612" s="1418"/>
      <c r="K612" s="1418"/>
      <c r="L612" s="1418"/>
      <c r="M612" s="1418"/>
      <c r="N612" s="1418"/>
      <c r="O612" s="1418"/>
      <c r="P612" s="1418"/>
      <c r="Q612" s="1418"/>
      <c r="R612" s="1418"/>
      <c r="T612" s="22"/>
      <c r="U612" t="s">
        <v>17</v>
      </c>
      <c r="Z612" s="1470"/>
      <c r="AA612" s="1470"/>
      <c r="AB612" s="1470"/>
      <c r="AC612" s="1470"/>
      <c r="AD612" s="1470"/>
      <c r="AE612" s="1470"/>
      <c r="AF612" s="1470"/>
      <c r="AG612" s="1470"/>
      <c r="AH612" s="1470"/>
      <c r="AI612" s="1470"/>
      <c r="AJ612" s="1470"/>
      <c r="AK612" s="1470"/>
      <c r="AZ612" s="3"/>
      <c r="BA612" s="3"/>
      <c r="BB612" s="3"/>
      <c r="BC612" s="3"/>
    </row>
    <row r="613" spans="1:55" s="4" customFormat="1" ht="12.95" customHeight="1">
      <c r="A613" s="22"/>
      <c r="B613" t="s">
        <v>316</v>
      </c>
      <c r="C613"/>
      <c r="D613"/>
      <c r="E613"/>
      <c r="F613"/>
      <c r="G613" s="1390"/>
      <c r="H613" s="1390"/>
      <c r="I613" s="1390"/>
      <c r="J613" s="1390"/>
      <c r="K613" s="1390"/>
      <c r="L613" s="1390"/>
      <c r="M613"/>
      <c r="N613"/>
      <c r="O613" s="33" t="s">
        <v>206</v>
      </c>
      <c r="P613" s="1437"/>
      <c r="Q613" s="1437"/>
      <c r="R613" s="1437"/>
      <c r="S613"/>
      <c r="T613" s="22"/>
      <c r="U613" t="s">
        <v>316</v>
      </c>
      <c r="V613"/>
      <c r="W613"/>
      <c r="X613"/>
      <c r="Y613"/>
      <c r="Z613" s="1390"/>
      <c r="AA613" s="1390"/>
      <c r="AB613" s="1390"/>
      <c r="AC613" s="1390"/>
      <c r="AD613" s="1390"/>
      <c r="AE613" s="1390"/>
      <c r="AF613"/>
      <c r="AG613"/>
      <c r="AH613" s="33" t="s">
        <v>206</v>
      </c>
      <c r="AI613" s="1437"/>
      <c r="AJ613" s="1437"/>
      <c r="AK613" s="1437"/>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18"/>
      <c r="I614" s="1418"/>
      <c r="J614" s="1418"/>
      <c r="K614" s="1418"/>
      <c r="L614" s="1418"/>
      <c r="M614" s="1418"/>
      <c r="N614" s="1418"/>
      <c r="O614" s="1418"/>
      <c r="P614" s="1418"/>
      <c r="Q614" s="1418"/>
      <c r="R614" s="1418"/>
      <c r="S614"/>
      <c r="T614" s="22"/>
      <c r="U614" t="s">
        <v>18</v>
      </c>
      <c r="V614"/>
      <c r="W614"/>
      <c r="X614"/>
      <c r="Y614"/>
      <c r="Z614"/>
      <c r="AA614" s="1418"/>
      <c r="AB614" s="1418"/>
      <c r="AC614" s="1418"/>
      <c r="AD614" s="1418"/>
      <c r="AE614" s="1418"/>
      <c r="AF614" s="1418"/>
      <c r="AG614" s="1418"/>
      <c r="AH614" s="1418"/>
      <c r="AI614" s="1418"/>
      <c r="AJ614" s="1418"/>
      <c r="AK614" s="1418"/>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426" t="s">
        <v>669</v>
      </c>
      <c r="O615" s="1426"/>
      <c r="P615"/>
      <c r="Q615"/>
      <c r="R615"/>
      <c r="S615"/>
      <c r="T615" s="22"/>
      <c r="U615" t="s">
        <v>20</v>
      </c>
      <c r="V615"/>
      <c r="W615"/>
      <c r="X615"/>
      <c r="Y615"/>
      <c r="Z615"/>
      <c r="AA615"/>
      <c r="AB615"/>
      <c r="AC615"/>
      <c r="AD615"/>
      <c r="AE615"/>
      <c r="AF615"/>
      <c r="AG615" s="1426" t="s">
        <v>669</v>
      </c>
      <c r="AH615" s="1426"/>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391">
        <f>C572</f>
        <v>0</v>
      </c>
      <c r="H617" s="1391"/>
      <c r="I617" s="1391"/>
      <c r="J617" s="1391"/>
      <c r="K617" s="1391"/>
      <c r="L617" s="1391"/>
      <c r="M617" s="1391"/>
      <c r="N617" s="1391"/>
      <c r="O617" s="1391"/>
      <c r="P617" s="1391"/>
      <c r="Q617" s="1391"/>
      <c r="R617" s="1391"/>
      <c r="T617" s="55" t="s">
        <v>363</v>
      </c>
      <c r="U617" t="s">
        <v>463</v>
      </c>
      <c r="Z617" s="1391">
        <f>C573</f>
        <v>0</v>
      </c>
      <c r="AA617" s="1391"/>
      <c r="AB617" s="1391"/>
      <c r="AC617" s="1391"/>
      <c r="AD617" s="1391"/>
      <c r="AE617" s="1391"/>
      <c r="AF617" s="1391"/>
      <c r="AG617" s="1391"/>
      <c r="AH617" s="1391"/>
      <c r="AI617" s="1391"/>
      <c r="AJ617" s="1391"/>
      <c r="AK617" s="1391"/>
      <c r="AZ617" s="3"/>
      <c r="BA617" s="3"/>
      <c r="BB617" s="3"/>
      <c r="BC617" s="3"/>
    </row>
    <row r="618" spans="1:55" ht="12.95" customHeight="1">
      <c r="B618" t="s">
        <v>85</v>
      </c>
      <c r="G618" s="1418"/>
      <c r="H618" s="1418"/>
      <c r="I618" s="1418"/>
      <c r="J618" s="1418"/>
      <c r="K618" s="1418"/>
      <c r="L618" s="1418"/>
      <c r="M618" s="1418"/>
      <c r="N618" s="1418"/>
      <c r="O618" s="1418"/>
      <c r="P618" s="1418"/>
      <c r="Q618" s="1418"/>
      <c r="R618" s="1418"/>
      <c r="U618" t="s">
        <v>85</v>
      </c>
      <c r="Z618" s="1418"/>
      <c r="AA618" s="1418"/>
      <c r="AB618" s="1418"/>
      <c r="AC618" s="1418"/>
      <c r="AD618" s="1418"/>
      <c r="AE618" s="1418"/>
      <c r="AF618" s="1418"/>
      <c r="AG618" s="1418"/>
      <c r="AH618" s="1418"/>
      <c r="AI618" s="1418"/>
      <c r="AJ618" s="1418"/>
      <c r="AK618" s="1418"/>
      <c r="AZ618" s="3"/>
      <c r="BA618" s="3"/>
      <c r="BB618" s="3"/>
      <c r="BC618" s="3"/>
    </row>
    <row r="619" spans="1:55" ht="12.95" customHeight="1">
      <c r="B619" t="s">
        <v>580</v>
      </c>
      <c r="G619" s="1418"/>
      <c r="H619" s="1418"/>
      <c r="I619" s="1418"/>
      <c r="J619" s="1418"/>
      <c r="K619" s="1418"/>
      <c r="L619" s="1418"/>
      <c r="M619" s="1418"/>
      <c r="N619" s="1418"/>
      <c r="O619" s="1418"/>
      <c r="P619" s="1418"/>
      <c r="Q619" s="1418"/>
      <c r="R619" s="1418"/>
      <c r="U619" t="s">
        <v>580</v>
      </c>
      <c r="Z619" s="1470"/>
      <c r="AA619" s="1470"/>
      <c r="AB619" s="1470"/>
      <c r="AC619" s="1470"/>
      <c r="AD619" s="1470"/>
      <c r="AE619" s="1470"/>
      <c r="AF619" s="1470"/>
      <c r="AG619" s="1470"/>
      <c r="AH619" s="1470"/>
      <c r="AI619" s="1470"/>
      <c r="AJ619" s="1470"/>
      <c r="AK619" s="1470"/>
      <c r="AZ619" s="3"/>
      <c r="BA619" s="3"/>
      <c r="BB619" s="3"/>
      <c r="BC619" s="3"/>
    </row>
    <row r="620" spans="1:55" ht="12.95" customHeight="1">
      <c r="B620" t="s">
        <v>17</v>
      </c>
      <c r="G620" s="1418"/>
      <c r="H620" s="1418"/>
      <c r="I620" s="1418"/>
      <c r="J620" s="1418"/>
      <c r="K620" s="1418"/>
      <c r="L620" s="1418"/>
      <c r="M620" s="1418"/>
      <c r="N620" s="1418"/>
      <c r="O620" s="1418"/>
      <c r="P620" s="1418"/>
      <c r="Q620" s="1418"/>
      <c r="R620" s="1418"/>
      <c r="U620" t="s">
        <v>17</v>
      </c>
      <c r="Z620" s="1470"/>
      <c r="AA620" s="1470"/>
      <c r="AB620" s="1470"/>
      <c r="AC620" s="1470"/>
      <c r="AD620" s="1470"/>
      <c r="AE620" s="1470"/>
      <c r="AF620" s="1470"/>
      <c r="AG620" s="1470"/>
      <c r="AH620" s="1470"/>
      <c r="AI620" s="1470"/>
      <c r="AJ620" s="1470"/>
      <c r="AK620" s="1470"/>
      <c r="AZ620" s="3"/>
      <c r="BA620" s="3"/>
      <c r="BB620" s="3"/>
      <c r="BC620" s="3"/>
    </row>
    <row r="621" spans="1:55" ht="12.95" customHeight="1">
      <c r="B621" t="s">
        <v>316</v>
      </c>
      <c r="G621" s="1390"/>
      <c r="H621" s="1390"/>
      <c r="I621" s="1390"/>
      <c r="J621" s="1390"/>
      <c r="K621" s="1390"/>
      <c r="L621" s="1390"/>
      <c r="O621" s="33" t="s">
        <v>206</v>
      </c>
      <c r="P621" s="1437"/>
      <c r="Q621" s="1437"/>
      <c r="R621" s="1437"/>
      <c r="U621" t="s">
        <v>316</v>
      </c>
      <c r="Z621" s="1390"/>
      <c r="AA621" s="1390"/>
      <c r="AB621" s="1390"/>
      <c r="AC621" s="1390"/>
      <c r="AD621" s="1390"/>
      <c r="AE621" s="1390"/>
      <c r="AH621" s="33" t="s">
        <v>206</v>
      </c>
      <c r="AI621" s="1437"/>
      <c r="AJ621" s="1437"/>
      <c r="AK621" s="1437"/>
      <c r="AZ621" s="3"/>
      <c r="BA621" s="3"/>
      <c r="BB621" s="3"/>
      <c r="BC621" s="3"/>
    </row>
    <row r="622" spans="1:55" ht="12.95" customHeight="1">
      <c r="B622" t="s">
        <v>18</v>
      </c>
      <c r="H622" s="1418"/>
      <c r="I622" s="1418"/>
      <c r="J622" s="1418"/>
      <c r="K622" s="1418"/>
      <c r="L622" s="1418"/>
      <c r="M622" s="1418"/>
      <c r="N622" s="1418"/>
      <c r="O622" s="1418"/>
      <c r="P622" s="1418"/>
      <c r="Q622" s="1418"/>
      <c r="R622" s="1418"/>
      <c r="U622" t="s">
        <v>18</v>
      </c>
      <c r="AA622" s="1418"/>
      <c r="AB622" s="1418"/>
      <c r="AC622" s="1418"/>
      <c r="AD622" s="1418"/>
      <c r="AE622" s="1418"/>
      <c r="AF622" s="1418"/>
      <c r="AG622" s="1418"/>
      <c r="AH622" s="1418"/>
      <c r="AI622" s="1418"/>
      <c r="AJ622" s="1418"/>
      <c r="AK622" s="1418"/>
      <c r="AU622" s="895"/>
      <c r="AV622" s="895"/>
      <c r="AW622" s="895"/>
      <c r="AX622" s="895"/>
      <c r="AY622" s="895"/>
      <c r="AZ622" s="3"/>
      <c r="BA622" s="3"/>
      <c r="BB622" s="3"/>
      <c r="BC622" s="3"/>
    </row>
    <row r="623" spans="1:55" ht="12.95" customHeight="1">
      <c r="B623" t="s">
        <v>20</v>
      </c>
      <c r="N623" s="1426" t="s">
        <v>669</v>
      </c>
      <c r="O623" s="1426"/>
      <c r="U623" t="s">
        <v>20</v>
      </c>
      <c r="AG623" s="1426" t="s">
        <v>669</v>
      </c>
      <c r="AH623" s="1426"/>
      <c r="AU623" s="895"/>
      <c r="AV623" s="895"/>
      <c r="AW623" s="895"/>
      <c r="AX623" s="895"/>
      <c r="AY623" s="895"/>
      <c r="AZ623" s="3"/>
      <c r="BA623" s="3"/>
      <c r="BB623" s="3"/>
      <c r="BC623" s="3"/>
    </row>
    <row r="624" spans="1:55" ht="12.95" customHeight="1">
      <c r="AZ624" s="3"/>
      <c r="BA624" s="3"/>
      <c r="BB624" s="3"/>
      <c r="BC624" s="3"/>
    </row>
    <row r="625" spans="1:56" ht="12.95" customHeight="1">
      <c r="A625" s="1276" t="s">
        <v>544</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5"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2056</v>
      </c>
      <c r="AZ630" s="3"/>
      <c r="BA630" s="3"/>
      <c r="BB630" s="3"/>
      <c r="BC630" s="3"/>
    </row>
    <row r="631" spans="1:56" ht="12.95" customHeight="1">
      <c r="B631" s="512"/>
      <c r="C631" s="2"/>
      <c r="AU631" s="3"/>
      <c r="AZ631" s="3"/>
      <c r="BA631" s="3"/>
      <c r="BB631" s="3"/>
      <c r="BC631" s="3"/>
    </row>
    <row r="632" spans="1:56" ht="12.95" customHeight="1">
      <c r="B632" s="1846" t="s">
        <v>2058</v>
      </c>
      <c r="C632" s="1846"/>
      <c r="D632" s="1846"/>
      <c r="E632" s="1846"/>
      <c r="F632" s="1846"/>
      <c r="G632" s="1846"/>
      <c r="H632" s="1846"/>
      <c r="I632" s="1846"/>
      <c r="J632" s="1846"/>
      <c r="K632" s="1846"/>
      <c r="L632" s="1846"/>
      <c r="M632" s="1826" t="s">
        <v>2059</v>
      </c>
      <c r="N632" s="1826"/>
      <c r="O632" s="1826"/>
      <c r="P632" s="1826"/>
      <c r="Q632" s="1826" t="s">
        <v>1828</v>
      </c>
      <c r="R632" s="1826"/>
      <c r="S632" s="1826"/>
      <c r="T632" s="1826" t="s">
        <v>1826</v>
      </c>
      <c r="U632" s="1826"/>
      <c r="V632" s="1826"/>
      <c r="W632" s="1662" t="s">
        <v>453</v>
      </c>
      <c r="X632" s="1662"/>
      <c r="Y632" s="1662"/>
      <c r="Z632" s="1408" t="s">
        <v>2088</v>
      </c>
      <c r="AA632" s="1408"/>
      <c r="AB632" s="1409"/>
      <c r="AC632" s="1828" t="s">
        <v>1664</v>
      </c>
      <c r="AD632" s="1829"/>
      <c r="AE632" s="1830"/>
      <c r="AF632" s="1407" t="s">
        <v>1903</v>
      </c>
      <c r="AG632" s="1408"/>
      <c r="AH632" s="1408"/>
      <c r="AI632" s="1408"/>
      <c r="AJ632" s="1409"/>
      <c r="AK632" s="1663" t="s">
        <v>1904</v>
      </c>
      <c r="AL632" s="1664"/>
      <c r="AM632" s="1664"/>
      <c r="AN632" s="1665"/>
      <c r="AO632" s="1826" t="s">
        <v>454</v>
      </c>
      <c r="AP632" s="1826"/>
      <c r="AQ632" s="1826"/>
      <c r="AR632" s="1826"/>
      <c r="AS632" s="1826"/>
      <c r="AU632" s="3"/>
      <c r="AZ632" s="3"/>
      <c r="BA632" s="3"/>
      <c r="BB632" s="3"/>
      <c r="BC632" s="3"/>
    </row>
    <row r="633" spans="1:56" ht="12.95" customHeight="1">
      <c r="B633" s="1846"/>
      <c r="C633" s="1846"/>
      <c r="D633" s="1846"/>
      <c r="E633" s="1846"/>
      <c r="F633" s="1846"/>
      <c r="G633" s="1846"/>
      <c r="H633" s="1846"/>
      <c r="I633" s="1846"/>
      <c r="J633" s="1846"/>
      <c r="K633" s="1846"/>
      <c r="L633" s="1846"/>
      <c r="M633" s="1826"/>
      <c r="N633" s="1826"/>
      <c r="O633" s="1826"/>
      <c r="P633" s="1826"/>
      <c r="Q633" s="1826"/>
      <c r="R633" s="1826"/>
      <c r="S633" s="1826"/>
      <c r="T633" s="1826"/>
      <c r="U633" s="1826"/>
      <c r="V633" s="1826"/>
      <c r="W633" s="1662"/>
      <c r="X633" s="1662"/>
      <c r="Y633" s="1662"/>
      <c r="Z633" s="1411"/>
      <c r="AA633" s="1411"/>
      <c r="AB633" s="1412"/>
      <c r="AC633" s="1831"/>
      <c r="AD633" s="1832"/>
      <c r="AE633" s="1833"/>
      <c r="AF633" s="1410"/>
      <c r="AG633" s="1411"/>
      <c r="AH633" s="1411"/>
      <c r="AI633" s="1411"/>
      <c r="AJ633" s="1412"/>
      <c r="AK633" s="1666"/>
      <c r="AL633" s="1667"/>
      <c r="AM633" s="1667"/>
      <c r="AN633" s="1668"/>
      <c r="AO633" s="1826"/>
      <c r="AP633" s="1826"/>
      <c r="AQ633" s="1826"/>
      <c r="AR633" s="1826"/>
      <c r="AS633" s="1826"/>
      <c r="AU633" s="3"/>
      <c r="AZ633" s="3"/>
      <c r="BA633" s="3"/>
      <c r="BB633" s="3"/>
      <c r="BC633" s="3"/>
      <c r="BD633" s="3"/>
    </row>
    <row r="634" spans="1:56" ht="12.95" customHeight="1">
      <c r="B634" s="1846"/>
      <c r="C634" s="1846"/>
      <c r="D634" s="1846"/>
      <c r="E634" s="1846"/>
      <c r="F634" s="1846"/>
      <c r="G634" s="1846"/>
      <c r="H634" s="1846"/>
      <c r="I634" s="1846"/>
      <c r="J634" s="1846"/>
      <c r="K634" s="1846"/>
      <c r="L634" s="1846"/>
      <c r="M634" s="1826"/>
      <c r="N634" s="1826"/>
      <c r="O634" s="1826"/>
      <c r="P634" s="1826"/>
      <c r="Q634" s="1826"/>
      <c r="R634" s="1826"/>
      <c r="S634" s="1826"/>
      <c r="T634" s="1826"/>
      <c r="U634" s="1826"/>
      <c r="V634" s="1826"/>
      <c r="W634" s="1662"/>
      <c r="X634" s="1662"/>
      <c r="Y634" s="1662"/>
      <c r="Z634" s="1414"/>
      <c r="AA634" s="1414"/>
      <c r="AB634" s="1415"/>
      <c r="AC634" s="1834"/>
      <c r="AD634" s="1835"/>
      <c r="AE634" s="1836"/>
      <c r="AF634" s="1413"/>
      <c r="AG634" s="1414"/>
      <c r="AH634" s="1414"/>
      <c r="AI634" s="1414"/>
      <c r="AJ634" s="1415"/>
      <c r="AK634" s="1669"/>
      <c r="AL634" s="1670"/>
      <c r="AM634" s="1670"/>
      <c r="AN634" s="1671"/>
      <c r="AO634" s="1826"/>
      <c r="AP634" s="1826"/>
      <c r="AQ634" s="1826"/>
      <c r="AR634" s="1826"/>
      <c r="AS634" s="1826"/>
      <c r="AT634" s="3"/>
      <c r="AU634" s="3"/>
      <c r="AZ634" s="3"/>
      <c r="BA634" s="3"/>
      <c r="BB634" s="3"/>
      <c r="BC634" s="3"/>
      <c r="BD634" s="3"/>
    </row>
    <row r="635" spans="1:56" ht="12.95" customHeight="1">
      <c r="B635" s="51" t="s">
        <v>112</v>
      </c>
      <c r="C635" s="1436" t="s">
        <v>2737</v>
      </c>
      <c r="D635" s="1436"/>
      <c r="E635" s="1436"/>
      <c r="F635" s="1436"/>
      <c r="G635" s="1436"/>
      <c r="H635" s="1436"/>
      <c r="I635" s="1436"/>
      <c r="J635" s="1436"/>
      <c r="K635" s="1436"/>
      <c r="L635" s="1436"/>
      <c r="M635" s="1610" t="s">
        <v>2069</v>
      </c>
      <c r="N635" s="1610"/>
      <c r="O635" s="1610"/>
      <c r="P635" s="1610"/>
      <c r="Q635" s="1546">
        <f>17*12</f>
        <v>204</v>
      </c>
      <c r="R635" s="1546"/>
      <c r="S635" s="1601"/>
      <c r="T635" s="1600">
        <f>40*12</f>
        <v>480</v>
      </c>
      <c r="U635" s="1546"/>
      <c r="V635" s="1601"/>
      <c r="W635" s="1387">
        <v>5.8999999999999997E-2</v>
      </c>
      <c r="X635" s="1388"/>
      <c r="Y635" s="1389"/>
      <c r="Z635" s="1486" t="s">
        <v>2087</v>
      </c>
      <c r="AA635" s="1487"/>
      <c r="AB635" s="1488"/>
      <c r="AC635" s="1477">
        <v>1</v>
      </c>
      <c r="AD635" s="1478"/>
      <c r="AE635" s="1479"/>
      <c r="AF635" s="1602">
        <f>-PMT(W635/12,T635,AO635)*12</f>
        <v>1767547.5986655918</v>
      </c>
      <c r="AG635" s="1603"/>
      <c r="AH635" s="1603"/>
      <c r="AI635" s="1603"/>
      <c r="AJ635" s="1604"/>
      <c r="AK635" s="1429"/>
      <c r="AL635" s="1430"/>
      <c r="AM635" s="1430"/>
      <c r="AN635" s="1431"/>
      <c r="AO635" s="1620">
        <v>27113347</v>
      </c>
      <c r="AP635" s="1620"/>
      <c r="AQ635" s="1620"/>
      <c r="AR635" s="1620"/>
      <c r="AS635" s="1620"/>
      <c r="AT635" s="3"/>
      <c r="AU635" s="3"/>
      <c r="AZ635" s="3"/>
      <c r="BA635" s="3"/>
      <c r="BB635" s="3"/>
      <c r="BC635" s="3"/>
      <c r="BD635" s="3"/>
    </row>
    <row r="636" spans="1:56" ht="12.95" customHeight="1">
      <c r="B636" s="52" t="s">
        <v>113</v>
      </c>
      <c r="C636" s="1436" t="s">
        <v>2263</v>
      </c>
      <c r="D636" s="1436"/>
      <c r="E636" s="1436"/>
      <c r="F636" s="1436"/>
      <c r="G636" s="1436"/>
      <c r="H636" s="1436"/>
      <c r="I636" s="1436"/>
      <c r="J636" s="1436"/>
      <c r="K636" s="1436"/>
      <c r="L636" s="1436"/>
      <c r="M636" s="1610" t="s">
        <v>2062</v>
      </c>
      <c r="N636" s="1610"/>
      <c r="O636" s="1610"/>
      <c r="P636" s="1610"/>
      <c r="Q636" s="1600"/>
      <c r="R636" s="1546"/>
      <c r="S636" s="1601"/>
      <c r="T636" s="1600"/>
      <c r="U636" s="1546"/>
      <c r="V636" s="1601"/>
      <c r="W636" s="1387"/>
      <c r="X636" s="1388"/>
      <c r="Y636" s="1389"/>
      <c r="Z636" s="1486" t="s">
        <v>458</v>
      </c>
      <c r="AA636" s="1487"/>
      <c r="AB636" s="1488"/>
      <c r="AC636" s="1477">
        <v>2</v>
      </c>
      <c r="AD636" s="1478"/>
      <c r="AE636" s="1479"/>
      <c r="AF636" s="1602"/>
      <c r="AG636" s="1603"/>
      <c r="AH636" s="1603"/>
      <c r="AI636" s="1603"/>
      <c r="AJ636" s="1604"/>
      <c r="AK636" s="1429"/>
      <c r="AL636" s="1430"/>
      <c r="AM636" s="1430"/>
      <c r="AN636" s="1431"/>
      <c r="AO636" s="1485">
        <f>6379986+1</f>
        <v>6379987</v>
      </c>
      <c r="AP636" s="1345"/>
      <c r="AQ636" s="1345"/>
      <c r="AR636" s="1345"/>
      <c r="AS636" s="1346"/>
      <c r="AT636" s="1142" t="str">
        <f>IF(AND(NOT(C635=""),C636="",NOT(C637="")),"!","")</f>
        <v/>
      </c>
      <c r="AU636" s="3"/>
      <c r="AZ636" s="3"/>
      <c r="BA636" s="3"/>
      <c r="BB636" s="3"/>
      <c r="BC636" s="3"/>
      <c r="BD636" s="3"/>
    </row>
    <row r="637" spans="1:56" ht="12.95" customHeight="1">
      <c r="B637" s="52" t="s">
        <v>119</v>
      </c>
      <c r="C637" s="1436"/>
      <c r="D637" s="1436"/>
      <c r="E637" s="1436"/>
      <c r="F637" s="1436"/>
      <c r="G637" s="1436"/>
      <c r="H637" s="1436"/>
      <c r="I637" s="1436"/>
      <c r="J637" s="1436"/>
      <c r="K637" s="1436"/>
      <c r="L637" s="1436"/>
      <c r="M637" s="1610" t="s">
        <v>1183</v>
      </c>
      <c r="N637" s="1610"/>
      <c r="O637" s="1610"/>
      <c r="P637" s="1610"/>
      <c r="Q637" s="1600"/>
      <c r="R637" s="1546"/>
      <c r="S637" s="1601"/>
      <c r="T637" s="1600"/>
      <c r="U637" s="1546"/>
      <c r="V637" s="1601"/>
      <c r="W637" s="1387"/>
      <c r="X637" s="1388"/>
      <c r="Y637" s="1389"/>
      <c r="Z637" s="1486" t="s">
        <v>1183</v>
      </c>
      <c r="AA637" s="1487"/>
      <c r="AB637" s="1488"/>
      <c r="AC637" s="1477"/>
      <c r="AD637" s="1478"/>
      <c r="AE637" s="1479"/>
      <c r="AF637" s="1602"/>
      <c r="AG637" s="1603"/>
      <c r="AH637" s="1603"/>
      <c r="AI637" s="1603"/>
      <c r="AJ637" s="1604"/>
      <c r="AK637" s="1429"/>
      <c r="AL637" s="1430"/>
      <c r="AM637" s="1430"/>
      <c r="AN637" s="1431"/>
      <c r="AO637" s="1485"/>
      <c r="AP637" s="1345"/>
      <c r="AQ637" s="1345"/>
      <c r="AR637" s="1345"/>
      <c r="AS637" s="1346"/>
      <c r="AT637" s="1142" t="str">
        <f t="shared" ref="AT637:AT646" si="3">IF(AND(NOT(C636=""),C637="",NOT(C638="")),"!","")</f>
        <v/>
      </c>
      <c r="AU637" s="3"/>
      <c r="AZ637" s="3"/>
      <c r="BA637" s="3"/>
      <c r="BB637" s="3"/>
      <c r="BC637" s="3"/>
      <c r="BD637" s="3"/>
    </row>
    <row r="638" spans="1:56" ht="12.95" customHeight="1">
      <c r="B638" s="52" t="s">
        <v>581</v>
      </c>
      <c r="C638" s="1605"/>
      <c r="D638" s="1605"/>
      <c r="E638" s="1605"/>
      <c r="F638" s="1605"/>
      <c r="G638" s="1605"/>
      <c r="H638" s="1605"/>
      <c r="I638" s="1605"/>
      <c r="J638" s="1605"/>
      <c r="K638" s="1605"/>
      <c r="L638" s="1605"/>
      <c r="M638" s="1610" t="s">
        <v>1183</v>
      </c>
      <c r="N638" s="1610"/>
      <c r="O638" s="1610"/>
      <c r="P638" s="1610"/>
      <c r="Q638" s="1600"/>
      <c r="R638" s="1546"/>
      <c r="S638" s="1601"/>
      <c r="T638" s="1600"/>
      <c r="U638" s="1546"/>
      <c r="V638" s="1601"/>
      <c r="W638" s="1387"/>
      <c r="X638" s="1388"/>
      <c r="Y638" s="1389"/>
      <c r="Z638" s="1486" t="s">
        <v>1183</v>
      </c>
      <c r="AA638" s="1487"/>
      <c r="AB638" s="1488"/>
      <c r="AC638" s="1477"/>
      <c r="AD638" s="1478"/>
      <c r="AE638" s="1479"/>
      <c r="AF638" s="1602"/>
      <c r="AG638" s="1603"/>
      <c r="AH638" s="1603"/>
      <c r="AI638" s="1603"/>
      <c r="AJ638" s="1604"/>
      <c r="AK638" s="1429"/>
      <c r="AL638" s="1430"/>
      <c r="AM638" s="1430"/>
      <c r="AN638" s="1431"/>
      <c r="AO638" s="1485"/>
      <c r="AP638" s="1345"/>
      <c r="AQ638" s="1345"/>
      <c r="AR638" s="1345"/>
      <c r="AS638" s="1346"/>
      <c r="AT638" s="1142" t="str">
        <f t="shared" si="3"/>
        <v/>
      </c>
      <c r="AU638" s="3"/>
      <c r="AZ638" s="3"/>
      <c r="BA638" s="3"/>
      <c r="BB638" s="3"/>
      <c r="BC638" s="3"/>
      <c r="BD638" s="3"/>
    </row>
    <row r="639" spans="1:56" ht="12.95" customHeight="1">
      <c r="B639" s="52" t="s">
        <v>763</v>
      </c>
      <c r="C639" s="1605"/>
      <c r="D639" s="1605"/>
      <c r="E639" s="1605"/>
      <c r="F639" s="1605"/>
      <c r="G639" s="1605"/>
      <c r="H639" s="1605"/>
      <c r="I639" s="1605"/>
      <c r="J639" s="1605"/>
      <c r="K639" s="1605"/>
      <c r="L639" s="1605"/>
      <c r="M639" s="1610" t="s">
        <v>1183</v>
      </c>
      <c r="N639" s="1610"/>
      <c r="O639" s="1610"/>
      <c r="P639" s="1610"/>
      <c r="Q639" s="1600"/>
      <c r="R639" s="1546"/>
      <c r="S639" s="1601"/>
      <c r="T639" s="1600"/>
      <c r="U639" s="1546"/>
      <c r="V639" s="1601"/>
      <c r="W639" s="1387"/>
      <c r="X639" s="1388"/>
      <c r="Y639" s="1389"/>
      <c r="Z639" s="1486" t="s">
        <v>1183</v>
      </c>
      <c r="AA639" s="1487"/>
      <c r="AB639" s="1488"/>
      <c r="AC639" s="1477"/>
      <c r="AD639" s="1478"/>
      <c r="AE639" s="1479"/>
      <c r="AF639" s="1602"/>
      <c r="AG639" s="1603"/>
      <c r="AH639" s="1603"/>
      <c r="AI639" s="1603"/>
      <c r="AJ639" s="1604"/>
      <c r="AK639" s="1429"/>
      <c r="AL639" s="1430"/>
      <c r="AM639" s="1430"/>
      <c r="AN639" s="1431"/>
      <c r="AO639" s="1485"/>
      <c r="AP639" s="1345"/>
      <c r="AQ639" s="1345"/>
      <c r="AR639" s="1345"/>
      <c r="AS639" s="1346"/>
      <c r="AT639" s="1142" t="str">
        <f t="shared" si="3"/>
        <v/>
      </c>
      <c r="AU639" s="3"/>
      <c r="AZ639" s="3"/>
      <c r="BA639" s="3"/>
      <c r="BB639" s="3"/>
      <c r="BC639" s="3"/>
      <c r="BD639" s="3"/>
    </row>
    <row r="640" spans="1:56" ht="12.95" customHeight="1">
      <c r="B640" s="52" t="s">
        <v>584</v>
      </c>
      <c r="C640" s="1605"/>
      <c r="D640" s="1605"/>
      <c r="E640" s="1605"/>
      <c r="F640" s="1605"/>
      <c r="G640" s="1605"/>
      <c r="H640" s="1605"/>
      <c r="I640" s="1605"/>
      <c r="J640" s="1605"/>
      <c r="K640" s="1605"/>
      <c r="L640" s="1605"/>
      <c r="M640" s="1610" t="s">
        <v>1183</v>
      </c>
      <c r="N640" s="1610"/>
      <c r="O640" s="1610"/>
      <c r="P640" s="1610"/>
      <c r="Q640" s="1600"/>
      <c r="R640" s="1546"/>
      <c r="S640" s="1601"/>
      <c r="T640" s="1600"/>
      <c r="U640" s="1546"/>
      <c r="V640" s="1601"/>
      <c r="W640" s="1387"/>
      <c r="X640" s="1388"/>
      <c r="Y640" s="1389"/>
      <c r="Z640" s="1486" t="s">
        <v>1183</v>
      </c>
      <c r="AA640" s="1487"/>
      <c r="AB640" s="1488"/>
      <c r="AC640" s="1477"/>
      <c r="AD640" s="1478"/>
      <c r="AE640" s="1479"/>
      <c r="AF640" s="1602"/>
      <c r="AG640" s="1603"/>
      <c r="AH640" s="1603"/>
      <c r="AI640" s="1603"/>
      <c r="AJ640" s="1604"/>
      <c r="AK640" s="1429"/>
      <c r="AL640" s="1430"/>
      <c r="AM640" s="1430"/>
      <c r="AN640" s="1431"/>
      <c r="AO640" s="1485"/>
      <c r="AP640" s="1345"/>
      <c r="AQ640" s="1345"/>
      <c r="AR640" s="1345"/>
      <c r="AS640" s="1346"/>
      <c r="AT640" s="1142" t="str">
        <f t="shared" si="3"/>
        <v/>
      </c>
      <c r="AU640" s="3"/>
      <c r="AZ640" s="3"/>
      <c r="BA640" s="3"/>
      <c r="BB640" s="3"/>
      <c r="BC640" s="3"/>
      <c r="BD640" s="3"/>
    </row>
    <row r="641" spans="1:157" ht="12.95" customHeight="1">
      <c r="B641" s="52" t="s">
        <v>455</v>
      </c>
      <c r="C641" s="1605"/>
      <c r="D641" s="1605"/>
      <c r="E641" s="1605"/>
      <c r="F641" s="1605"/>
      <c r="G641" s="1605"/>
      <c r="H641" s="1605"/>
      <c r="I641" s="1605"/>
      <c r="J641" s="1605"/>
      <c r="K641" s="1605"/>
      <c r="L641" s="1605"/>
      <c r="M641" s="1610" t="s">
        <v>1183</v>
      </c>
      <c r="N641" s="1610"/>
      <c r="O641" s="1610"/>
      <c r="P641" s="1610"/>
      <c r="Q641" s="1600"/>
      <c r="R641" s="1546"/>
      <c r="S641" s="1601"/>
      <c r="T641" s="1600"/>
      <c r="U641" s="1546"/>
      <c r="V641" s="1601"/>
      <c r="W641" s="1387"/>
      <c r="X641" s="1388"/>
      <c r="Y641" s="1389"/>
      <c r="Z641" s="1486" t="s">
        <v>1183</v>
      </c>
      <c r="AA641" s="1487"/>
      <c r="AB641" s="1488"/>
      <c r="AC641" s="1477"/>
      <c r="AD641" s="1478"/>
      <c r="AE641" s="1479"/>
      <c r="AF641" s="1602"/>
      <c r="AG641" s="1603"/>
      <c r="AH641" s="1603"/>
      <c r="AI641" s="1603"/>
      <c r="AJ641" s="1604"/>
      <c r="AK641" s="1429"/>
      <c r="AL641" s="1430"/>
      <c r="AM641" s="1430"/>
      <c r="AN641" s="1431"/>
      <c r="AO641" s="1485"/>
      <c r="AP641" s="1345"/>
      <c r="AQ641" s="1345"/>
      <c r="AR641" s="1345"/>
      <c r="AS641" s="1346"/>
      <c r="AT641" s="1142" t="str">
        <f t="shared" si="3"/>
        <v/>
      </c>
      <c r="AU641" s="3"/>
      <c r="AV641" s="3"/>
      <c r="AW641" s="3"/>
      <c r="AX641" s="3"/>
      <c r="AY641" s="3"/>
      <c r="AZ641" s="3"/>
      <c r="BA641" s="3"/>
      <c r="BB641" s="3"/>
      <c r="BC641" s="3"/>
      <c r="BD641" s="3"/>
    </row>
    <row r="642" spans="1:157" ht="12.95" customHeight="1">
      <c r="B642" s="52" t="s">
        <v>456</v>
      </c>
      <c r="C642" s="1605"/>
      <c r="D642" s="1605"/>
      <c r="E642" s="1605"/>
      <c r="F642" s="1605"/>
      <c r="G642" s="1605"/>
      <c r="H642" s="1605"/>
      <c r="I642" s="1605"/>
      <c r="J642" s="1605"/>
      <c r="K642" s="1605"/>
      <c r="L642" s="1605"/>
      <c r="M642" s="1610" t="s">
        <v>1183</v>
      </c>
      <c r="N642" s="1610"/>
      <c r="O642" s="1610"/>
      <c r="P642" s="1610"/>
      <c r="Q642" s="1600"/>
      <c r="R642" s="1546"/>
      <c r="S642" s="1601"/>
      <c r="T642" s="1600"/>
      <c r="U642" s="1546"/>
      <c r="V642" s="1601"/>
      <c r="W642" s="1387"/>
      <c r="X642" s="1388"/>
      <c r="Y642" s="1389"/>
      <c r="Z642" s="1486" t="s">
        <v>1183</v>
      </c>
      <c r="AA642" s="1487"/>
      <c r="AB642" s="1488"/>
      <c r="AC642" s="1477"/>
      <c r="AD642" s="1478"/>
      <c r="AE642" s="1479"/>
      <c r="AF642" s="1602"/>
      <c r="AG642" s="1603"/>
      <c r="AH642" s="1603"/>
      <c r="AI642" s="1603"/>
      <c r="AJ642" s="1604"/>
      <c r="AK642" s="1429"/>
      <c r="AL642" s="1430"/>
      <c r="AM642" s="1430"/>
      <c r="AN642" s="1431"/>
      <c r="AO642" s="1485"/>
      <c r="AP642" s="1345"/>
      <c r="AQ642" s="1345"/>
      <c r="AR642" s="1345"/>
      <c r="AS642" s="1346"/>
      <c r="AT642" s="1142" t="str">
        <f t="shared" si="3"/>
        <v/>
      </c>
      <c r="AU642" s="3"/>
      <c r="AV642" s="3"/>
      <c r="AW642" s="3"/>
      <c r="AX642" s="3"/>
      <c r="AY642" s="3"/>
      <c r="AZ642" s="3"/>
      <c r="BA642" s="3" t="s">
        <v>1183</v>
      </c>
      <c r="BB642" s="3"/>
      <c r="BC642" s="3"/>
      <c r="BD642" s="3"/>
    </row>
    <row r="643" spans="1:157" ht="12.95" customHeight="1">
      <c r="B643" s="52" t="s">
        <v>461</v>
      </c>
      <c r="C643" s="1605"/>
      <c r="D643" s="1605"/>
      <c r="E643" s="1605"/>
      <c r="F643" s="1605"/>
      <c r="G643" s="1605"/>
      <c r="H643" s="1605"/>
      <c r="I643" s="1605"/>
      <c r="J643" s="1605"/>
      <c r="K643" s="1605"/>
      <c r="L643" s="1605"/>
      <c r="M643" s="1610" t="s">
        <v>1183</v>
      </c>
      <c r="N643" s="1610"/>
      <c r="O643" s="1610"/>
      <c r="P643" s="1610"/>
      <c r="Q643" s="1600"/>
      <c r="R643" s="1546"/>
      <c r="S643" s="1601"/>
      <c r="T643" s="1600"/>
      <c r="U643" s="1546"/>
      <c r="V643" s="1601"/>
      <c r="W643" s="1387"/>
      <c r="X643" s="1388"/>
      <c r="Y643" s="1389"/>
      <c r="Z643" s="1486" t="s">
        <v>1183</v>
      </c>
      <c r="AA643" s="1487"/>
      <c r="AB643" s="1488"/>
      <c r="AC643" s="1477"/>
      <c r="AD643" s="1478"/>
      <c r="AE643" s="1479"/>
      <c r="AF643" s="1602"/>
      <c r="AG643" s="1603"/>
      <c r="AH643" s="1603"/>
      <c r="AI643" s="1603"/>
      <c r="AJ643" s="1604"/>
      <c r="AK643" s="1429"/>
      <c r="AL643" s="1430"/>
      <c r="AM643" s="1430"/>
      <c r="AN643" s="1431"/>
      <c r="AO643" s="1485"/>
      <c r="AP643" s="1345"/>
      <c r="AQ643" s="1345"/>
      <c r="AR643" s="1345"/>
      <c r="AS643" s="1346"/>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3" t="e">
        <f t="shared" ref="DX643:DX677" si="4">EZ726*(CP726/$CP$761)</f>
        <v>#VALUE!</v>
      </c>
      <c r="DY643" s="1383"/>
      <c r="DZ643" s="1383"/>
      <c r="EA643" s="1383"/>
      <c r="EB643" s="1383"/>
      <c r="EC643" s="1383">
        <f t="shared" ref="EC643:EC677" si="5">FE726*(CU726/$CU$761)</f>
        <v>189.83333333333331</v>
      </c>
      <c r="ED643" s="1383"/>
      <c r="EE643" s="1383"/>
      <c r="EF643" s="1383"/>
      <c r="EG643" s="1383"/>
      <c r="EH643" s="1383" t="e">
        <f t="shared" ref="EH643:EH677" si="6">FJ726*(CZ726/$CZ$761)</f>
        <v>#VALUE!</v>
      </c>
      <c r="EI643" s="1383"/>
      <c r="EJ643" s="1383"/>
      <c r="EK643" s="1383"/>
      <c r="EL643" s="1383"/>
      <c r="EM643" s="1383" t="e">
        <f t="shared" ref="EM643:EM677" si="7">FO726*(DE726/$DE$761)</f>
        <v>#VALUE!</v>
      </c>
      <c r="EN643" s="1383"/>
      <c r="EO643" s="1383"/>
      <c r="EP643" s="1383"/>
      <c r="EQ643" s="1383"/>
      <c r="ER643" s="1383" t="e">
        <f t="shared" ref="ER643:ER677" si="8">FT726*(DJ726/$DJ$761)</f>
        <v>#VALUE!</v>
      </c>
      <c r="ES643" s="1383"/>
      <c r="ET643" s="1383"/>
      <c r="EU643" s="1383"/>
      <c r="EV643" s="1383"/>
      <c r="EW643" s="1383" t="e">
        <f t="shared" ref="EW643:EW677" si="9">FY726*(DO726/$DO$761)</f>
        <v>#VALUE!</v>
      </c>
      <c r="EX643" s="1383"/>
      <c r="EY643" s="1383"/>
      <c r="EZ643" s="1383"/>
      <c r="FA643" s="1383"/>
    </row>
    <row r="644" spans="1:157" ht="12.95" customHeight="1">
      <c r="B644" s="52" t="s">
        <v>646</v>
      </c>
      <c r="C644" s="1605"/>
      <c r="D644" s="1605"/>
      <c r="E644" s="1605"/>
      <c r="F644" s="1605"/>
      <c r="G644" s="1605"/>
      <c r="H644" s="1605"/>
      <c r="I644" s="1605"/>
      <c r="J644" s="1605"/>
      <c r="K644" s="1605"/>
      <c r="L644" s="1605"/>
      <c r="M644" s="1610" t="s">
        <v>1183</v>
      </c>
      <c r="N644" s="1610"/>
      <c r="O644" s="1610"/>
      <c r="P644" s="1610"/>
      <c r="Q644" s="1600"/>
      <c r="R644" s="1546"/>
      <c r="S644" s="1601"/>
      <c r="T644" s="1600"/>
      <c r="U644" s="1546"/>
      <c r="V644" s="1601"/>
      <c r="W644" s="1387"/>
      <c r="X644" s="1388"/>
      <c r="Y644" s="1389"/>
      <c r="Z644" s="1486" t="s">
        <v>1183</v>
      </c>
      <c r="AA644" s="1487"/>
      <c r="AB644" s="1488"/>
      <c r="AC644" s="1477"/>
      <c r="AD644" s="1478"/>
      <c r="AE644" s="1479"/>
      <c r="AF644" s="1602"/>
      <c r="AG644" s="1603"/>
      <c r="AH644" s="1603"/>
      <c r="AI644" s="1603"/>
      <c r="AJ644" s="1604"/>
      <c r="AK644" s="1429"/>
      <c r="AL644" s="1430"/>
      <c r="AM644" s="1430"/>
      <c r="AN644" s="1431"/>
      <c r="AO644" s="1485"/>
      <c r="AP644" s="1345"/>
      <c r="AQ644" s="1345"/>
      <c r="AR644" s="1345"/>
      <c r="AS644" s="1346"/>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83" t="e">
        <f t="shared" si="4"/>
        <v>#VALUE!</v>
      </c>
      <c r="DY644" s="1383"/>
      <c r="DZ644" s="1383"/>
      <c r="EA644" s="1383"/>
      <c r="EB644" s="1383"/>
      <c r="EC644" s="1383">
        <f t="shared" si="5"/>
        <v>161</v>
      </c>
      <c r="ED644" s="1383"/>
      <c r="EE644" s="1383"/>
      <c r="EF644" s="1383"/>
      <c r="EG644" s="1383"/>
      <c r="EH644" s="1383" t="e">
        <f t="shared" si="6"/>
        <v>#VALUE!</v>
      </c>
      <c r="EI644" s="1383"/>
      <c r="EJ644" s="1383"/>
      <c r="EK644" s="1383"/>
      <c r="EL644" s="1383"/>
      <c r="EM644" s="1383" t="e">
        <f t="shared" si="7"/>
        <v>#VALUE!</v>
      </c>
      <c r="EN644" s="1383"/>
      <c r="EO644" s="1383"/>
      <c r="EP644" s="1383"/>
      <c r="EQ644" s="1383"/>
      <c r="ER644" s="1383" t="e">
        <f t="shared" si="8"/>
        <v>#VALUE!</v>
      </c>
      <c r="ES644" s="1383"/>
      <c r="ET644" s="1383"/>
      <c r="EU644" s="1383"/>
      <c r="EV644" s="1383"/>
      <c r="EW644" s="1383" t="e">
        <f t="shared" si="9"/>
        <v>#VALUE!</v>
      </c>
      <c r="EX644" s="1383"/>
      <c r="EY644" s="1383"/>
      <c r="EZ644" s="1383"/>
      <c r="FA644" s="1383"/>
    </row>
    <row r="645" spans="1:157" ht="12.95" customHeight="1">
      <c r="B645" s="52" t="s">
        <v>362</v>
      </c>
      <c r="C645" s="1605"/>
      <c r="D645" s="1605"/>
      <c r="E645" s="1605"/>
      <c r="F645" s="1605"/>
      <c r="G645" s="1605"/>
      <c r="H645" s="1605"/>
      <c r="I645" s="1605"/>
      <c r="J645" s="1605"/>
      <c r="K645" s="1605"/>
      <c r="L645" s="1605"/>
      <c r="M645" s="1610" t="s">
        <v>1183</v>
      </c>
      <c r="N645" s="1610"/>
      <c r="O645" s="1610"/>
      <c r="P645" s="1610"/>
      <c r="Q645" s="1600"/>
      <c r="R645" s="1546"/>
      <c r="S645" s="1601"/>
      <c r="T645" s="1600"/>
      <c r="U645" s="1546"/>
      <c r="V645" s="1601"/>
      <c r="W645" s="1387"/>
      <c r="X645" s="1388"/>
      <c r="Y645" s="1389"/>
      <c r="Z645" s="1486" t="s">
        <v>1183</v>
      </c>
      <c r="AA645" s="1487"/>
      <c r="AB645" s="1488"/>
      <c r="AC645" s="1477"/>
      <c r="AD645" s="1478"/>
      <c r="AE645" s="1479"/>
      <c r="AF645" s="1602"/>
      <c r="AG645" s="1603"/>
      <c r="AH645" s="1603"/>
      <c r="AI645" s="1603"/>
      <c r="AJ645" s="1604"/>
      <c r="AK645" s="1429"/>
      <c r="AL645" s="1430"/>
      <c r="AM645" s="1430"/>
      <c r="AN645" s="1431"/>
      <c r="AO645" s="1485"/>
      <c r="AP645" s="1345"/>
      <c r="AQ645" s="1345"/>
      <c r="AR645" s="1345"/>
      <c r="AS645" s="1346"/>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383" t="e">
        <f t="shared" si="4"/>
        <v>#VALUE!</v>
      </c>
      <c r="DY645" s="1383"/>
      <c r="DZ645" s="1383"/>
      <c r="EA645" s="1383"/>
      <c r="EB645" s="1383"/>
      <c r="EC645" s="1383">
        <f t="shared" si="5"/>
        <v>1293.3333333333333</v>
      </c>
      <c r="ED645" s="1383"/>
      <c r="EE645" s="1383"/>
      <c r="EF645" s="1383"/>
      <c r="EG645" s="1383"/>
      <c r="EH645" s="1383" t="e">
        <f t="shared" si="6"/>
        <v>#VALUE!</v>
      </c>
      <c r="EI645" s="1383"/>
      <c r="EJ645" s="1383"/>
      <c r="EK645" s="1383"/>
      <c r="EL645" s="1383"/>
      <c r="EM645" s="1383" t="e">
        <f t="shared" si="7"/>
        <v>#VALUE!</v>
      </c>
      <c r="EN645" s="1383"/>
      <c r="EO645" s="1383"/>
      <c r="EP645" s="1383"/>
      <c r="EQ645" s="1383"/>
      <c r="ER645" s="1383" t="e">
        <f t="shared" si="8"/>
        <v>#VALUE!</v>
      </c>
      <c r="ES645" s="1383"/>
      <c r="ET645" s="1383"/>
      <c r="EU645" s="1383"/>
      <c r="EV645" s="1383"/>
      <c r="EW645" s="1383" t="e">
        <f t="shared" si="9"/>
        <v>#VALUE!</v>
      </c>
      <c r="EX645" s="1383"/>
      <c r="EY645" s="1383"/>
      <c r="EZ645" s="1383"/>
      <c r="FA645" s="1383"/>
    </row>
    <row r="646" spans="1:157" ht="12.95" customHeight="1">
      <c r="B646" s="52" t="s">
        <v>363</v>
      </c>
      <c r="C646" s="1605"/>
      <c r="D646" s="1605"/>
      <c r="E646" s="1605"/>
      <c r="F646" s="1605"/>
      <c r="G646" s="1605"/>
      <c r="H646" s="1605"/>
      <c r="I646" s="1605"/>
      <c r="J646" s="1605"/>
      <c r="K646" s="1605"/>
      <c r="L646" s="1605"/>
      <c r="M646" s="1610" t="s">
        <v>1183</v>
      </c>
      <c r="N646" s="1610"/>
      <c r="O646" s="1610"/>
      <c r="P646" s="1610"/>
      <c r="Q646" s="1600"/>
      <c r="R646" s="1546"/>
      <c r="S646" s="1601"/>
      <c r="T646" s="1600"/>
      <c r="U646" s="1546"/>
      <c r="V646" s="1601"/>
      <c r="W646" s="1387"/>
      <c r="X646" s="1388"/>
      <c r="Y646" s="1389"/>
      <c r="Z646" s="1486" t="s">
        <v>1183</v>
      </c>
      <c r="AA646" s="1487"/>
      <c r="AB646" s="1488"/>
      <c r="AC646" s="1477"/>
      <c r="AD646" s="1478"/>
      <c r="AE646" s="1479"/>
      <c r="AF646" s="1602"/>
      <c r="AG646" s="1603"/>
      <c r="AH646" s="1603"/>
      <c r="AI646" s="1603"/>
      <c r="AJ646" s="1604"/>
      <c r="AK646" s="1429"/>
      <c r="AL646" s="1430"/>
      <c r="AM646" s="1430"/>
      <c r="AN646" s="1431"/>
      <c r="AO646" s="1485"/>
      <c r="AP646" s="1345"/>
      <c r="AQ646" s="1345"/>
      <c r="AR646" s="1345"/>
      <c r="AS646" s="134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83" t="e">
        <f t="shared" si="4"/>
        <v>#VALUE!</v>
      </c>
      <c r="DY646" s="1383"/>
      <c r="DZ646" s="1383"/>
      <c r="EA646" s="1383"/>
      <c r="EB646" s="1383"/>
      <c r="EC646" s="1383" t="e">
        <f t="shared" si="5"/>
        <v>#VALUE!</v>
      </c>
      <c r="ED646" s="1383"/>
      <c r="EE646" s="1383"/>
      <c r="EF646" s="1383"/>
      <c r="EG646" s="1383"/>
      <c r="EH646" s="1383">
        <f t="shared" si="6"/>
        <v>225.83529411764704</v>
      </c>
      <c r="EI646" s="1383"/>
      <c r="EJ646" s="1383"/>
      <c r="EK646" s="1383"/>
      <c r="EL646" s="1383"/>
      <c r="EM646" s="1383" t="e">
        <f t="shared" si="7"/>
        <v>#VALUE!</v>
      </c>
      <c r="EN646" s="1383"/>
      <c r="EO646" s="1383"/>
      <c r="EP646" s="1383"/>
      <c r="EQ646" s="1383"/>
      <c r="ER646" s="1383" t="e">
        <f t="shared" si="8"/>
        <v>#VALUE!</v>
      </c>
      <c r="ES646" s="1383"/>
      <c r="ET646" s="1383"/>
      <c r="EU646" s="1383"/>
      <c r="EV646" s="1383"/>
      <c r="EW646" s="1383" t="e">
        <f t="shared" si="9"/>
        <v>#VALUE!</v>
      </c>
      <c r="EX646" s="1383"/>
      <c r="EY646" s="1383"/>
      <c r="EZ646" s="1383"/>
      <c r="FA646" s="1383"/>
    </row>
    <row r="647" spans="1:157" ht="12.95" customHeight="1">
      <c r="B647" s="1419" t="s">
        <v>128</v>
      </c>
      <c r="C647" s="1420"/>
      <c r="D647" s="1420"/>
      <c r="E647" s="1420"/>
      <c r="F647" s="1420"/>
      <c r="G647" s="1420"/>
      <c r="H647" s="1420"/>
      <c r="I647" s="1420"/>
      <c r="J647" s="1420"/>
      <c r="K647" s="1420"/>
      <c r="L647" s="1420"/>
      <c r="M647" s="1420"/>
      <c r="N647" s="1420"/>
      <c r="O647" s="1420"/>
      <c r="P647" s="1420"/>
      <c r="Q647" s="1420"/>
      <c r="R647" s="1420"/>
      <c r="S647" s="1420"/>
      <c r="T647" s="1420"/>
      <c r="U647" s="1420"/>
      <c r="V647" s="1420"/>
      <c r="W647" s="1420"/>
      <c r="X647" s="1420"/>
      <c r="Y647" s="1420"/>
      <c r="Z647" s="1420"/>
      <c r="AA647" s="1420"/>
      <c r="AB647" s="1420"/>
      <c r="AC647" s="1420"/>
      <c r="AD647" s="1420"/>
      <c r="AE647" s="1420"/>
      <c r="AF647" s="1420"/>
      <c r="AG647" s="1420"/>
      <c r="AH647" s="1420"/>
      <c r="AI647" s="1420"/>
      <c r="AJ647" s="1420"/>
      <c r="AK647" s="1420"/>
      <c r="AL647" s="1420"/>
      <c r="AM647" s="1420"/>
      <c r="AN647" s="1422"/>
      <c r="AO647" s="1482">
        <f>SUM(AO635:AR646)</f>
        <v>33493334</v>
      </c>
      <c r="AP647" s="1483"/>
      <c r="AQ647" s="1483"/>
      <c r="AR647" s="1483"/>
      <c r="AS647" s="148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3" t="e">
        <f t="shared" si="4"/>
        <v>#VALUE!</v>
      </c>
      <c r="DY647" s="1383"/>
      <c r="DZ647" s="1383"/>
      <c r="EA647" s="1383"/>
      <c r="EB647" s="1383"/>
      <c r="EC647" s="1383" t="e">
        <f t="shared" si="5"/>
        <v>#VALUE!</v>
      </c>
      <c r="ED647" s="1383"/>
      <c r="EE647" s="1383"/>
      <c r="EF647" s="1383"/>
      <c r="EG647" s="1383"/>
      <c r="EH647" s="1383">
        <f t="shared" si="6"/>
        <v>1776.0294117647059</v>
      </c>
      <c r="EI647" s="1383"/>
      <c r="EJ647" s="1383"/>
      <c r="EK647" s="1383"/>
      <c r="EL647" s="1383"/>
      <c r="EM647" s="1383" t="e">
        <f t="shared" si="7"/>
        <v>#VALUE!</v>
      </c>
      <c r="EN647" s="1383"/>
      <c r="EO647" s="1383"/>
      <c r="EP647" s="1383"/>
      <c r="EQ647" s="1383"/>
      <c r="ER647" s="1383" t="e">
        <f t="shared" si="8"/>
        <v>#VALUE!</v>
      </c>
      <c r="ES647" s="1383"/>
      <c r="ET647" s="1383"/>
      <c r="EU647" s="1383"/>
      <c r="EV647" s="1383"/>
      <c r="EW647" s="1383" t="e">
        <f t="shared" si="9"/>
        <v>#VALUE!</v>
      </c>
      <c r="EX647" s="1383"/>
      <c r="EY647" s="1383"/>
      <c r="EZ647" s="1383"/>
      <c r="FA647" s="1383"/>
    </row>
    <row r="648" spans="1:157" ht="12.95" customHeight="1">
      <c r="B648" s="1419" t="s">
        <v>267</v>
      </c>
      <c r="C648" s="1420"/>
      <c r="D648" s="1420"/>
      <c r="E648" s="1420"/>
      <c r="F648" s="1420"/>
      <c r="G648" s="1420"/>
      <c r="H648" s="1420"/>
      <c r="I648" s="1420"/>
      <c r="J648" s="1420"/>
      <c r="K648" s="1420"/>
      <c r="L648" s="1420"/>
      <c r="M648" s="1420"/>
      <c r="N648" s="1420"/>
      <c r="O648" s="1420"/>
      <c r="P648" s="1420"/>
      <c r="Q648" s="1420"/>
      <c r="R648" s="1420"/>
      <c r="S648" s="1420"/>
      <c r="T648" s="1420"/>
      <c r="U648" s="1420"/>
      <c r="V648" s="1420"/>
      <c r="W648" s="1420"/>
      <c r="X648" s="1420"/>
      <c r="Y648" s="1420"/>
      <c r="Z648" s="1420"/>
      <c r="AA648" s="1420"/>
      <c r="AB648" s="1420"/>
      <c r="AC648" s="1420"/>
      <c r="AD648" s="1420"/>
      <c r="AE648" s="1420"/>
      <c r="AF648" s="1420"/>
      <c r="AG648" s="1420"/>
      <c r="AH648" s="1420"/>
      <c r="AI648" s="1420"/>
      <c r="AJ648" s="1420"/>
      <c r="AK648" s="1420"/>
      <c r="AL648" s="1420"/>
      <c r="AM648" s="1420"/>
      <c r="AN648" s="1422"/>
      <c r="AO648" s="1485">
        <v>23770413</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3" t="e">
        <f t="shared" si="4"/>
        <v>#VALUE!</v>
      </c>
      <c r="DY648" s="1383"/>
      <c r="DZ648" s="1383"/>
      <c r="EA648" s="1383"/>
      <c r="EB648" s="1383"/>
      <c r="EC648" s="1383" t="e">
        <f t="shared" si="5"/>
        <v>#VALUE!</v>
      </c>
      <c r="ED648" s="1383"/>
      <c r="EE648" s="1383"/>
      <c r="EF648" s="1383"/>
      <c r="EG648" s="1383"/>
      <c r="EH648" s="1383" t="e">
        <f t="shared" si="6"/>
        <v>#VALUE!</v>
      </c>
      <c r="EI648" s="1383"/>
      <c r="EJ648" s="1383"/>
      <c r="EK648" s="1383"/>
      <c r="EL648" s="1383"/>
      <c r="EM648" s="1383">
        <f t="shared" si="7"/>
        <v>288.36521739130438</v>
      </c>
      <c r="EN648" s="1383"/>
      <c r="EO648" s="1383"/>
      <c r="EP648" s="1383"/>
      <c r="EQ648" s="1383"/>
      <c r="ER648" s="1383" t="e">
        <f t="shared" si="8"/>
        <v>#VALUE!</v>
      </c>
      <c r="ES648" s="1383"/>
      <c r="ET648" s="1383"/>
      <c r="EU648" s="1383"/>
      <c r="EV648" s="1383"/>
      <c r="EW648" s="1383" t="e">
        <f t="shared" si="9"/>
        <v>#VALUE!</v>
      </c>
      <c r="EX648" s="1383"/>
      <c r="EY648" s="1383"/>
      <c r="EZ648" s="1383"/>
      <c r="FA648" s="1383"/>
    </row>
    <row r="649" spans="1:157" ht="12.95" customHeight="1">
      <c r="B649" s="1672" t="s">
        <v>268</v>
      </c>
      <c r="C649" s="1421"/>
      <c r="D649" s="1421"/>
      <c r="E649" s="1421"/>
      <c r="F649" s="1421"/>
      <c r="G649" s="1421"/>
      <c r="H649" s="1421"/>
      <c r="I649" s="1421"/>
      <c r="J649" s="1421"/>
      <c r="K649" s="1421"/>
      <c r="L649" s="1421"/>
      <c r="M649" s="1421"/>
      <c r="N649" s="1421"/>
      <c r="O649" s="1421"/>
      <c r="P649" s="1421"/>
      <c r="Q649" s="1421"/>
      <c r="R649" s="1421"/>
      <c r="S649" s="1421"/>
      <c r="T649" s="1421"/>
      <c r="U649" s="1421"/>
      <c r="V649" s="1421"/>
      <c r="W649" s="1421"/>
      <c r="X649" s="1421"/>
      <c r="Y649" s="1421"/>
      <c r="Z649" s="1421"/>
      <c r="AA649" s="1421"/>
      <c r="AB649" s="1421"/>
      <c r="AC649" s="1421"/>
      <c r="AD649" s="1421"/>
      <c r="AE649" s="1421"/>
      <c r="AF649" s="1421"/>
      <c r="AG649" s="1421"/>
      <c r="AH649" s="1421"/>
      <c r="AI649" s="1421"/>
      <c r="AJ649" s="1421"/>
      <c r="AK649" s="1421"/>
      <c r="AL649" s="1421"/>
      <c r="AM649" s="1421"/>
      <c r="AN649" s="1673"/>
      <c r="AO649" s="1482">
        <f>AO647+AO648</f>
        <v>57263747</v>
      </c>
      <c r="AP649" s="1483"/>
      <c r="AQ649" s="1483"/>
      <c r="AR649" s="1483"/>
      <c r="AS649" s="148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3" t="e">
        <f t="shared" si="4"/>
        <v>#VALUE!</v>
      </c>
      <c r="DY649" s="1383"/>
      <c r="DZ649" s="1383"/>
      <c r="EA649" s="1383"/>
      <c r="EB649" s="1383"/>
      <c r="EC649" s="1383" t="e">
        <f t="shared" si="5"/>
        <v>#VALUE!</v>
      </c>
      <c r="ED649" s="1383"/>
      <c r="EE649" s="1383"/>
      <c r="EF649" s="1383"/>
      <c r="EG649" s="1383"/>
      <c r="EH649" s="1383" t="e">
        <f t="shared" si="6"/>
        <v>#VALUE!</v>
      </c>
      <c r="EI649" s="1383"/>
      <c r="EJ649" s="1383"/>
      <c r="EK649" s="1383"/>
      <c r="EL649" s="1383"/>
      <c r="EM649" s="1383">
        <f t="shared" si="7"/>
        <v>397.70434782608697</v>
      </c>
      <c r="EN649" s="1383"/>
      <c r="EO649" s="1383"/>
      <c r="EP649" s="1383"/>
      <c r="EQ649" s="1383"/>
      <c r="ER649" s="1383" t="e">
        <f t="shared" si="8"/>
        <v>#VALUE!</v>
      </c>
      <c r="ES649" s="1383"/>
      <c r="ET649" s="1383"/>
      <c r="EU649" s="1383"/>
      <c r="EV649" s="1383"/>
      <c r="EW649" s="1383" t="e">
        <f t="shared" si="9"/>
        <v>#VALUE!</v>
      </c>
      <c r="EX649" s="1383"/>
      <c r="EY649" s="1383"/>
      <c r="EZ649" s="1383"/>
      <c r="FA649" s="1383"/>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3" t="e">
        <f t="shared" si="4"/>
        <v>#VALUE!</v>
      </c>
      <c r="DY650" s="1383"/>
      <c r="DZ650" s="1383"/>
      <c r="EA650" s="1383"/>
      <c r="EB650" s="1383"/>
      <c r="EC650" s="1383" t="e">
        <f t="shared" si="5"/>
        <v>#VALUE!</v>
      </c>
      <c r="ED650" s="1383"/>
      <c r="EE650" s="1383"/>
      <c r="EF650" s="1383"/>
      <c r="EG650" s="1383"/>
      <c r="EH650" s="1383" t="e">
        <f t="shared" si="6"/>
        <v>#VALUE!</v>
      </c>
      <c r="EI650" s="1383"/>
      <c r="EJ650" s="1383"/>
      <c r="EK650" s="1383"/>
      <c r="EL650" s="1383"/>
      <c r="EM650" s="1383">
        <f t="shared" si="7"/>
        <v>1515.1217391304347</v>
      </c>
      <c r="EN650" s="1383"/>
      <c r="EO650" s="1383"/>
      <c r="EP650" s="1383"/>
      <c r="EQ650" s="1383"/>
      <c r="ER650" s="1383" t="e">
        <f t="shared" si="8"/>
        <v>#VALUE!</v>
      </c>
      <c r="ES650" s="1383"/>
      <c r="ET650" s="1383"/>
      <c r="EU650" s="1383"/>
      <c r="EV650" s="1383"/>
      <c r="EW650" s="1383" t="e">
        <f t="shared" si="9"/>
        <v>#VALUE!</v>
      </c>
      <c r="EX650" s="1383"/>
      <c r="EY650" s="1383"/>
      <c r="EZ650" s="1383"/>
      <c r="FA650" s="1383"/>
    </row>
    <row r="651" spans="1:157" ht="12.95" customHeight="1">
      <c r="A651" s="55" t="s">
        <v>112</v>
      </c>
      <c r="B651" t="s">
        <v>463</v>
      </c>
      <c r="G651" s="1391" t="str">
        <f>C635</f>
        <v>Citi - Perm Bond Proceeds</v>
      </c>
      <c r="H651" s="1391"/>
      <c r="I651" s="1391"/>
      <c r="J651" s="1391"/>
      <c r="K651" s="1391"/>
      <c r="L651" s="1391"/>
      <c r="M651" s="1391"/>
      <c r="N651" s="1391"/>
      <c r="O651" s="1391"/>
      <c r="P651" s="1391"/>
      <c r="Q651" s="1391"/>
      <c r="R651" s="1391"/>
      <c r="S651" s="8"/>
      <c r="T651" s="55" t="s">
        <v>113</v>
      </c>
      <c r="U651" t="s">
        <v>463</v>
      </c>
      <c r="Z651" s="1391" t="str">
        <f>C636</f>
        <v>Deferred Developer Fee</v>
      </c>
      <c r="AA651" s="1391"/>
      <c r="AB651" s="1391"/>
      <c r="AC651" s="1391"/>
      <c r="AD651" s="1391"/>
      <c r="AE651" s="1391"/>
      <c r="AF651" s="1391"/>
      <c r="AG651" s="1391"/>
      <c r="AH651" s="1391"/>
      <c r="AI651" s="1391"/>
      <c r="AJ651" s="1391"/>
      <c r="AK651" s="1391"/>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3" t="e">
        <f t="shared" si="4"/>
        <v>#VALUE!</v>
      </c>
      <c r="DY651" s="1383"/>
      <c r="DZ651" s="1383"/>
      <c r="EA651" s="1383"/>
      <c r="EB651" s="1383"/>
      <c r="EC651" s="1383" t="e">
        <f t="shared" si="5"/>
        <v>#VALUE!</v>
      </c>
      <c r="ED651" s="1383"/>
      <c r="EE651" s="1383"/>
      <c r="EF651" s="1383"/>
      <c r="EG651" s="1383"/>
      <c r="EH651" s="1383" t="e">
        <f t="shared" si="6"/>
        <v>#VALUE!</v>
      </c>
      <c r="EI651" s="1383"/>
      <c r="EJ651" s="1383"/>
      <c r="EK651" s="1383"/>
      <c r="EL651" s="1383"/>
      <c r="EM651" s="1383" t="e">
        <f t="shared" si="7"/>
        <v>#VALUE!</v>
      </c>
      <c r="EN651" s="1383"/>
      <c r="EO651" s="1383"/>
      <c r="EP651" s="1383"/>
      <c r="EQ651" s="1383"/>
      <c r="ER651" s="1383" t="e">
        <f t="shared" si="8"/>
        <v>#VALUE!</v>
      </c>
      <c r="ES651" s="1383"/>
      <c r="ET651" s="1383"/>
      <c r="EU651" s="1383"/>
      <c r="EV651" s="1383"/>
      <c r="EW651" s="1383" t="e">
        <f t="shared" si="9"/>
        <v>#VALUE!</v>
      </c>
      <c r="EX651" s="1383"/>
      <c r="EY651" s="1383"/>
      <c r="EZ651" s="1383"/>
      <c r="FA651" s="1383"/>
    </row>
    <row r="652" spans="1:157" ht="12.95" customHeight="1">
      <c r="A652" s="22"/>
      <c r="B652" t="s">
        <v>85</v>
      </c>
      <c r="G652" s="1418" t="s">
        <v>2729</v>
      </c>
      <c r="H652" s="1418"/>
      <c r="I652" s="1418"/>
      <c r="J652" s="1418"/>
      <c r="K652" s="1418"/>
      <c r="L652" s="1418"/>
      <c r="M652" s="1418"/>
      <c r="N652" s="1418"/>
      <c r="O652" s="1418"/>
      <c r="P652" s="1418"/>
      <c r="Q652" s="1418"/>
      <c r="R652" s="1418"/>
      <c r="S652" s="8"/>
      <c r="T652" s="22"/>
      <c r="U652" t="s">
        <v>85</v>
      </c>
      <c r="Z652" s="1418" t="str">
        <f>G594</f>
        <v>3470 Wilshire Blvd. #700</v>
      </c>
      <c r="AA652" s="1418"/>
      <c r="AB652" s="1418"/>
      <c r="AC652" s="1418"/>
      <c r="AD652" s="1418"/>
      <c r="AE652" s="1418"/>
      <c r="AF652" s="1418"/>
      <c r="AG652" s="1418"/>
      <c r="AH652" s="1418"/>
      <c r="AI652" s="1418"/>
      <c r="AJ652" s="1418"/>
      <c r="AK652" s="1418"/>
      <c r="AV652" s="3"/>
      <c r="AW652" s="3"/>
      <c r="AX652" s="3"/>
      <c r="AY652" s="3"/>
      <c r="AZ652" s="3"/>
      <c r="BA652" s="3"/>
      <c r="BB652" s="3"/>
      <c r="BC652" s="3"/>
      <c r="BD652" s="3"/>
      <c r="BE652" s="3"/>
      <c r="BF652" s="3"/>
      <c r="BG652" s="3"/>
      <c r="BH652" s="3"/>
      <c r="BI652" s="3"/>
      <c r="BJ652" s="3"/>
      <c r="BK652" s="3"/>
      <c r="BL652" s="3"/>
      <c r="BM652" s="3"/>
      <c r="DX652" s="1383" t="e">
        <f t="shared" si="4"/>
        <v>#VALUE!</v>
      </c>
      <c r="DY652" s="1383"/>
      <c r="DZ652" s="1383"/>
      <c r="EA652" s="1383"/>
      <c r="EB652" s="1383"/>
      <c r="EC652" s="1383" t="e">
        <f t="shared" si="5"/>
        <v>#VALUE!</v>
      </c>
      <c r="ED652" s="1383"/>
      <c r="EE652" s="1383"/>
      <c r="EF652" s="1383"/>
      <c r="EG652" s="1383"/>
      <c r="EH652" s="1383" t="e">
        <f t="shared" si="6"/>
        <v>#VALUE!</v>
      </c>
      <c r="EI652" s="1383"/>
      <c r="EJ652" s="1383"/>
      <c r="EK652" s="1383"/>
      <c r="EL652" s="1383"/>
      <c r="EM652" s="1383" t="e">
        <f t="shared" si="7"/>
        <v>#VALUE!</v>
      </c>
      <c r="EN652" s="1383"/>
      <c r="EO652" s="1383"/>
      <c r="EP652" s="1383"/>
      <c r="EQ652" s="1383"/>
      <c r="ER652" s="1383" t="e">
        <f t="shared" si="8"/>
        <v>#VALUE!</v>
      </c>
      <c r="ES652" s="1383"/>
      <c r="ET652" s="1383"/>
      <c r="EU652" s="1383"/>
      <c r="EV652" s="1383"/>
      <c r="EW652" s="1383" t="e">
        <f t="shared" si="9"/>
        <v>#VALUE!</v>
      </c>
      <c r="EX652" s="1383"/>
      <c r="EY652" s="1383"/>
      <c r="EZ652" s="1383"/>
      <c r="FA652" s="1383"/>
    </row>
    <row r="653" spans="1:157" ht="12.95" customHeight="1">
      <c r="A653" s="22"/>
      <c r="B653" t="s">
        <v>580</v>
      </c>
      <c r="G653" s="1418" t="s">
        <v>494</v>
      </c>
      <c r="H653" s="1418"/>
      <c r="I653" s="1418"/>
      <c r="J653" s="1418"/>
      <c r="K653" s="1418"/>
      <c r="L653" s="1418"/>
      <c r="M653" s="1418"/>
      <c r="N653" s="1418"/>
      <c r="O653" s="1418"/>
      <c r="P653" s="1418"/>
      <c r="Q653" s="1418"/>
      <c r="R653" s="1418"/>
      <c r="T653" s="22"/>
      <c r="U653" t="s">
        <v>580</v>
      </c>
      <c r="Z653" s="1470" t="str">
        <f>G595</f>
        <v>Los Angeles</v>
      </c>
      <c r="AA653" s="1470"/>
      <c r="AB653" s="1470"/>
      <c r="AC653" s="1470"/>
      <c r="AD653" s="1470"/>
      <c r="AE653" s="1470"/>
      <c r="AF653" s="1470"/>
      <c r="AG653" s="1470"/>
      <c r="AH653" s="1470"/>
      <c r="AI653" s="1470"/>
      <c r="AJ653" s="1470"/>
      <c r="AK653" s="1470"/>
      <c r="AV653" s="3"/>
      <c r="AW653" s="3"/>
      <c r="AX653" s="3"/>
      <c r="AY653" s="3"/>
      <c r="AZ653" s="3"/>
      <c r="BA653" s="3"/>
      <c r="BB653" s="3"/>
      <c r="BC653" s="3"/>
      <c r="BD653" s="3"/>
      <c r="BE653" s="3"/>
      <c r="BF653" s="3"/>
      <c r="BG653" s="3"/>
      <c r="BH653" s="3"/>
      <c r="BI653" s="3"/>
      <c r="BJ653" s="3"/>
      <c r="BK653" s="3"/>
      <c r="BL653" s="3"/>
      <c r="BM653" s="3"/>
      <c r="DX653" s="1383" t="e">
        <f t="shared" si="4"/>
        <v>#VALUE!</v>
      </c>
      <c r="DY653" s="1383"/>
      <c r="DZ653" s="1383"/>
      <c r="EA653" s="1383"/>
      <c r="EB653" s="1383"/>
      <c r="EC653" s="1383" t="e">
        <f t="shared" si="5"/>
        <v>#VALUE!</v>
      </c>
      <c r="ED653" s="1383"/>
      <c r="EE653" s="1383"/>
      <c r="EF653" s="1383"/>
      <c r="EG653" s="1383"/>
      <c r="EH653" s="1383" t="e">
        <f t="shared" si="6"/>
        <v>#VALUE!</v>
      </c>
      <c r="EI653" s="1383"/>
      <c r="EJ653" s="1383"/>
      <c r="EK653" s="1383"/>
      <c r="EL653" s="1383"/>
      <c r="EM653" s="1383" t="e">
        <f t="shared" si="7"/>
        <v>#VALUE!</v>
      </c>
      <c r="EN653" s="1383"/>
      <c r="EO653" s="1383"/>
      <c r="EP653" s="1383"/>
      <c r="EQ653" s="1383"/>
      <c r="ER653" s="1383" t="e">
        <f t="shared" si="8"/>
        <v>#VALUE!</v>
      </c>
      <c r="ES653" s="1383"/>
      <c r="ET653" s="1383"/>
      <c r="EU653" s="1383"/>
      <c r="EV653" s="1383"/>
      <c r="EW653" s="1383" t="e">
        <f t="shared" si="9"/>
        <v>#VALUE!</v>
      </c>
      <c r="EX653" s="1383"/>
      <c r="EY653" s="1383"/>
      <c r="EZ653" s="1383"/>
      <c r="FA653" s="1383"/>
    </row>
    <row r="654" spans="1:157" ht="12.95" customHeight="1">
      <c r="A654" s="22"/>
      <c r="B654" t="s">
        <v>17</v>
      </c>
      <c r="G654" s="1418" t="s">
        <v>2730</v>
      </c>
      <c r="H654" s="1418"/>
      <c r="I654" s="1418"/>
      <c r="J654" s="1418"/>
      <c r="K654" s="1418"/>
      <c r="L654" s="1418"/>
      <c r="M654" s="1418"/>
      <c r="N654" s="1418"/>
      <c r="O654" s="1418"/>
      <c r="P654" s="1418"/>
      <c r="Q654" s="1418"/>
      <c r="R654" s="1418"/>
      <c r="S654" s="8"/>
      <c r="T654" s="22"/>
      <c r="U654" t="s">
        <v>17</v>
      </c>
      <c r="Z654" s="1470" t="str">
        <f>G596</f>
        <v>Garrett Lee</v>
      </c>
      <c r="AA654" s="1470"/>
      <c r="AB654" s="1470"/>
      <c r="AC654" s="1470"/>
      <c r="AD654" s="1470"/>
      <c r="AE654" s="1470"/>
      <c r="AF654" s="1470"/>
      <c r="AG654" s="1470"/>
      <c r="AH654" s="1470"/>
      <c r="AI654" s="1470"/>
      <c r="AJ654" s="1470"/>
      <c r="AK654" s="1470"/>
      <c r="AZ654" s="3"/>
      <c r="BA654" s="3"/>
      <c r="BB654" s="3"/>
      <c r="BC654" s="3"/>
      <c r="BD654" s="3"/>
      <c r="BE654" s="3"/>
      <c r="BF654" s="3"/>
      <c r="BG654" s="3"/>
      <c r="BH654" s="3"/>
      <c r="BI654" s="3"/>
      <c r="BJ654" s="3"/>
      <c r="BK654" s="3"/>
      <c r="BL654" s="3"/>
      <c r="BM654" s="3"/>
      <c r="DX654" s="1383" t="e">
        <f t="shared" si="4"/>
        <v>#VALUE!</v>
      </c>
      <c r="DY654" s="1383"/>
      <c r="DZ654" s="1383"/>
      <c r="EA654" s="1383"/>
      <c r="EB654" s="1383"/>
      <c r="EC654" s="1383" t="e">
        <f t="shared" si="5"/>
        <v>#VALUE!</v>
      </c>
      <c r="ED654" s="1383"/>
      <c r="EE654" s="1383"/>
      <c r="EF654" s="1383"/>
      <c r="EG654" s="1383"/>
      <c r="EH654" s="1383" t="e">
        <f t="shared" si="6"/>
        <v>#VALUE!</v>
      </c>
      <c r="EI654" s="1383"/>
      <c r="EJ654" s="1383"/>
      <c r="EK654" s="1383"/>
      <c r="EL654" s="1383"/>
      <c r="EM654" s="1383" t="e">
        <f t="shared" si="7"/>
        <v>#VALUE!</v>
      </c>
      <c r="EN654" s="1383"/>
      <c r="EO654" s="1383"/>
      <c r="EP654" s="1383"/>
      <c r="EQ654" s="1383"/>
      <c r="ER654" s="1383" t="e">
        <f t="shared" si="8"/>
        <v>#VALUE!</v>
      </c>
      <c r="ES654" s="1383"/>
      <c r="ET654" s="1383"/>
      <c r="EU654" s="1383"/>
      <c r="EV654" s="1383"/>
      <c r="EW654" s="1383" t="e">
        <f t="shared" si="9"/>
        <v>#VALUE!</v>
      </c>
      <c r="EX654" s="1383"/>
      <c r="EY654" s="1383"/>
      <c r="EZ654" s="1383"/>
      <c r="FA654" s="1383"/>
    </row>
    <row r="655" spans="1:157" ht="12.95" customHeight="1">
      <c r="A655" s="22"/>
      <c r="B655" t="s">
        <v>316</v>
      </c>
      <c r="G655" s="1517">
        <v>2132391914</v>
      </c>
      <c r="H655" s="1517"/>
      <c r="I655" s="1517"/>
      <c r="J655" s="1517"/>
      <c r="K655" s="1517"/>
      <c r="L655" s="1517"/>
      <c r="O655" s="33" t="s">
        <v>206</v>
      </c>
      <c r="P655" s="1437"/>
      <c r="Q655" s="1437"/>
      <c r="R655" s="1437"/>
      <c r="S655" s="10"/>
      <c r="T655" s="22"/>
      <c r="U655" t="s">
        <v>316</v>
      </c>
      <c r="Z655" s="1390">
        <f>G597</f>
        <v>2134868917</v>
      </c>
      <c r="AA655" s="1390"/>
      <c r="AB655" s="1390"/>
      <c r="AC655" s="1390"/>
      <c r="AD655" s="1390"/>
      <c r="AE655" s="1390"/>
      <c r="AH655" s="33" t="s">
        <v>206</v>
      </c>
      <c r="AI655" s="1437"/>
      <c r="AJ655" s="1437"/>
      <c r="AK655" s="1437"/>
      <c r="AZ655" s="34"/>
      <c r="BA655" s="34"/>
      <c r="BB655" s="34"/>
      <c r="BC655" s="34"/>
      <c r="BD655" s="34"/>
      <c r="BE655" s="34"/>
      <c r="BF655" s="34"/>
      <c r="BG655" s="34"/>
      <c r="BH655" s="34"/>
      <c r="BI655" s="34"/>
      <c r="BJ655" s="34"/>
      <c r="BK655" s="34"/>
      <c r="BL655" s="34"/>
      <c r="BM655" s="34"/>
      <c r="DX655" s="1383" t="e">
        <f t="shared" si="4"/>
        <v>#VALUE!</v>
      </c>
      <c r="DY655" s="1383"/>
      <c r="DZ655" s="1383"/>
      <c r="EA655" s="1383"/>
      <c r="EB655" s="1383"/>
      <c r="EC655" s="1383" t="e">
        <f t="shared" si="5"/>
        <v>#VALUE!</v>
      </c>
      <c r="ED655" s="1383"/>
      <c r="EE655" s="1383"/>
      <c r="EF655" s="1383"/>
      <c r="EG655" s="1383"/>
      <c r="EH655" s="1383" t="e">
        <f t="shared" si="6"/>
        <v>#VALUE!</v>
      </c>
      <c r="EI655" s="1383"/>
      <c r="EJ655" s="1383"/>
      <c r="EK655" s="1383"/>
      <c r="EL655" s="1383"/>
      <c r="EM655" s="1383" t="e">
        <f t="shared" si="7"/>
        <v>#VALUE!</v>
      </c>
      <c r="EN655" s="1383"/>
      <c r="EO655" s="1383"/>
      <c r="EP655" s="1383"/>
      <c r="EQ655" s="1383"/>
      <c r="ER655" s="1383" t="e">
        <f t="shared" si="8"/>
        <v>#VALUE!</v>
      </c>
      <c r="ES655" s="1383"/>
      <c r="ET655" s="1383"/>
      <c r="EU655" s="1383"/>
      <c r="EV655" s="1383"/>
      <c r="EW655" s="1383" t="e">
        <f t="shared" si="9"/>
        <v>#VALUE!</v>
      </c>
      <c r="EX655" s="1383"/>
      <c r="EY655" s="1383"/>
      <c r="EZ655" s="1383"/>
      <c r="FA655" s="1383"/>
    </row>
    <row r="656" spans="1:157" ht="12.95" customHeight="1">
      <c r="A656" s="22"/>
      <c r="B656" t="s">
        <v>18</v>
      </c>
      <c r="H656" s="1418" t="s">
        <v>2075</v>
      </c>
      <c r="I656" s="1418"/>
      <c r="J656" s="1418"/>
      <c r="K656" s="1418"/>
      <c r="L656" s="1418"/>
      <c r="M656" s="1418"/>
      <c r="N656" s="1418"/>
      <c r="O656" s="1418"/>
      <c r="P656" s="1418"/>
      <c r="Q656" s="1418"/>
      <c r="R656" s="1418"/>
      <c r="S656" s="8"/>
      <c r="T656" s="22"/>
      <c r="U656" t="s">
        <v>18</v>
      </c>
      <c r="AA656" s="1418" t="s">
        <v>458</v>
      </c>
      <c r="AB656" s="1418"/>
      <c r="AC656" s="1418"/>
      <c r="AD656" s="1418"/>
      <c r="AE656" s="1418"/>
      <c r="AF656" s="1418"/>
      <c r="AG656" s="1418"/>
      <c r="AH656" s="1418"/>
      <c r="AI656" s="1418"/>
      <c r="AJ656" s="1418"/>
      <c r="AK656" s="1418"/>
      <c r="AZ656" s="34"/>
      <c r="BA656" s="34"/>
      <c r="BB656" s="34"/>
      <c r="BC656" s="34"/>
      <c r="BD656" s="34"/>
      <c r="BE656" s="34"/>
      <c r="BF656" s="34"/>
      <c r="BG656" s="34"/>
      <c r="BH656" s="34"/>
      <c r="BI656" s="34"/>
      <c r="BJ656" s="34"/>
      <c r="BK656" s="34"/>
      <c r="BL656" s="34"/>
      <c r="BM656" s="34"/>
      <c r="DX656" s="1383" t="e">
        <f t="shared" si="4"/>
        <v>#VALUE!</v>
      </c>
      <c r="DY656" s="1383"/>
      <c r="DZ656" s="1383"/>
      <c r="EA656" s="1383"/>
      <c r="EB656" s="1383"/>
      <c r="EC656" s="1383" t="e">
        <f t="shared" si="5"/>
        <v>#VALUE!</v>
      </c>
      <c r="ED656" s="1383"/>
      <c r="EE656" s="1383"/>
      <c r="EF656" s="1383"/>
      <c r="EG656" s="1383"/>
      <c r="EH656" s="1383" t="e">
        <f t="shared" si="6"/>
        <v>#VALUE!</v>
      </c>
      <c r="EI656" s="1383"/>
      <c r="EJ656" s="1383"/>
      <c r="EK656" s="1383"/>
      <c r="EL656" s="1383"/>
      <c r="EM656" s="1383" t="e">
        <f t="shared" si="7"/>
        <v>#VALUE!</v>
      </c>
      <c r="EN656" s="1383"/>
      <c r="EO656" s="1383"/>
      <c r="EP656" s="1383"/>
      <c r="EQ656" s="1383"/>
      <c r="ER656" s="1383" t="e">
        <f t="shared" si="8"/>
        <v>#VALUE!</v>
      </c>
      <c r="ES656" s="1383"/>
      <c r="ET656" s="1383"/>
      <c r="EU656" s="1383"/>
      <c r="EV656" s="1383"/>
      <c r="EW656" s="1383" t="e">
        <f t="shared" si="9"/>
        <v>#VALUE!</v>
      </c>
      <c r="EX656" s="1383"/>
      <c r="EY656" s="1383"/>
      <c r="EZ656" s="1383"/>
      <c r="FA656" s="1383"/>
    </row>
    <row r="657" spans="1:157" ht="12.95" customHeight="1">
      <c r="A657" s="22"/>
      <c r="B657" t="s">
        <v>20</v>
      </c>
      <c r="N657" s="1426" t="s">
        <v>545</v>
      </c>
      <c r="O657" s="1426"/>
      <c r="T657" s="22"/>
      <c r="U657" t="s">
        <v>20</v>
      </c>
      <c r="AG657" s="1426" t="s">
        <v>545</v>
      </c>
      <c r="AH657" s="1426"/>
      <c r="AZ657" s="34"/>
      <c r="BA657" s="34"/>
      <c r="BB657" s="34"/>
      <c r="BC657" s="34"/>
      <c r="BD657" s="34"/>
      <c r="BE657" s="34"/>
      <c r="BF657" s="34"/>
      <c r="BG657" s="34"/>
      <c r="BH657" s="34"/>
      <c r="BI657" s="34"/>
      <c r="BJ657" s="34"/>
      <c r="BK657" s="34"/>
      <c r="BL657" s="34"/>
      <c r="BM657" s="34"/>
      <c r="DX657" s="1383" t="e">
        <f t="shared" si="4"/>
        <v>#VALUE!</v>
      </c>
      <c r="DY657" s="1383"/>
      <c r="DZ657" s="1383"/>
      <c r="EA657" s="1383"/>
      <c r="EB657" s="1383"/>
      <c r="EC657" s="1383" t="e">
        <f t="shared" si="5"/>
        <v>#VALUE!</v>
      </c>
      <c r="ED657" s="1383"/>
      <c r="EE657" s="1383"/>
      <c r="EF657" s="1383"/>
      <c r="EG657" s="1383"/>
      <c r="EH657" s="1383" t="e">
        <f t="shared" si="6"/>
        <v>#VALUE!</v>
      </c>
      <c r="EI657" s="1383"/>
      <c r="EJ657" s="1383"/>
      <c r="EK657" s="1383"/>
      <c r="EL657" s="1383"/>
      <c r="EM657" s="1383" t="e">
        <f t="shared" si="7"/>
        <v>#VALUE!</v>
      </c>
      <c r="EN657" s="1383"/>
      <c r="EO657" s="1383"/>
      <c r="EP657" s="1383"/>
      <c r="EQ657" s="1383"/>
      <c r="ER657" s="1383" t="e">
        <f t="shared" si="8"/>
        <v>#VALUE!</v>
      </c>
      <c r="ES657" s="1383"/>
      <c r="ET657" s="1383"/>
      <c r="EU657" s="1383"/>
      <c r="EV657" s="1383"/>
      <c r="EW657" s="1383" t="e">
        <f t="shared" si="9"/>
        <v>#VALUE!</v>
      </c>
      <c r="EX657" s="1383"/>
      <c r="EY657" s="1383"/>
      <c r="EZ657" s="1383"/>
      <c r="FA657" s="1383"/>
    </row>
    <row r="658" spans="1:157" ht="12.95" customHeight="1">
      <c r="A658" s="22"/>
      <c r="T658" s="22"/>
      <c r="AZ658" s="34"/>
      <c r="BA658" s="34"/>
      <c r="BB658" s="34"/>
      <c r="BC658" s="34"/>
      <c r="BD658" s="34"/>
      <c r="BE658" s="34"/>
      <c r="BF658" s="34"/>
      <c r="BG658" s="34"/>
      <c r="BH658" s="34"/>
      <c r="BI658" s="34"/>
      <c r="BJ658" s="34"/>
      <c r="BK658" s="34"/>
      <c r="BL658" s="34"/>
      <c r="BM658" s="34"/>
      <c r="DX658" s="1383" t="e">
        <f t="shared" si="4"/>
        <v>#VALUE!</v>
      </c>
      <c r="DY658" s="1383"/>
      <c r="DZ658" s="1383"/>
      <c r="EA658" s="1383"/>
      <c r="EB658" s="1383"/>
      <c r="EC658" s="1383" t="e">
        <f t="shared" si="5"/>
        <v>#VALUE!</v>
      </c>
      <c r="ED658" s="1383"/>
      <c r="EE658" s="1383"/>
      <c r="EF658" s="1383"/>
      <c r="EG658" s="1383"/>
      <c r="EH658" s="1383" t="e">
        <f t="shared" si="6"/>
        <v>#VALUE!</v>
      </c>
      <c r="EI658" s="1383"/>
      <c r="EJ658" s="1383"/>
      <c r="EK658" s="1383"/>
      <c r="EL658" s="1383"/>
      <c r="EM658" s="1383" t="e">
        <f t="shared" si="7"/>
        <v>#VALUE!</v>
      </c>
      <c r="EN658" s="1383"/>
      <c r="EO658" s="1383"/>
      <c r="EP658" s="1383"/>
      <c r="EQ658" s="1383"/>
      <c r="ER658" s="1383" t="e">
        <f t="shared" si="8"/>
        <v>#VALUE!</v>
      </c>
      <c r="ES658" s="1383"/>
      <c r="ET658" s="1383"/>
      <c r="EU658" s="1383"/>
      <c r="EV658" s="1383"/>
      <c r="EW658" s="1383" t="e">
        <f t="shared" si="9"/>
        <v>#VALUE!</v>
      </c>
      <c r="EX658" s="1383"/>
      <c r="EY658" s="1383"/>
      <c r="EZ658" s="1383"/>
      <c r="FA658" s="1383"/>
    </row>
    <row r="659" spans="1:157" ht="12.95" customHeight="1">
      <c r="A659" s="55" t="s">
        <v>119</v>
      </c>
      <c r="B659" t="s">
        <v>463</v>
      </c>
      <c r="G659" s="1391">
        <f>C637</f>
        <v>0</v>
      </c>
      <c r="H659" s="1391"/>
      <c r="I659" s="1391"/>
      <c r="J659" s="1391"/>
      <c r="K659" s="1391"/>
      <c r="L659" s="1391"/>
      <c r="M659" s="1391"/>
      <c r="N659" s="1391"/>
      <c r="O659" s="1391"/>
      <c r="P659" s="1391"/>
      <c r="Q659" s="1391"/>
      <c r="R659" s="1391"/>
      <c r="T659" s="55" t="s">
        <v>581</v>
      </c>
      <c r="U659" t="s">
        <v>463</v>
      </c>
      <c r="Z659" s="1391">
        <f>C638</f>
        <v>0</v>
      </c>
      <c r="AA659" s="1391"/>
      <c r="AB659" s="1391"/>
      <c r="AC659" s="1391"/>
      <c r="AD659" s="1391"/>
      <c r="AE659" s="1391"/>
      <c r="AF659" s="1391"/>
      <c r="AG659" s="1391"/>
      <c r="AH659" s="1391"/>
      <c r="AI659" s="1391"/>
      <c r="AJ659" s="1391"/>
      <c r="AK659" s="1391"/>
      <c r="AZ659" s="34"/>
      <c r="BA659" s="34"/>
      <c r="BB659" s="34"/>
      <c r="BC659" s="34"/>
      <c r="BD659" s="34"/>
      <c r="BE659" s="34"/>
      <c r="BF659" s="34"/>
      <c r="BG659" s="34"/>
      <c r="BH659" s="34"/>
      <c r="BI659" s="34"/>
      <c r="BJ659" s="34"/>
      <c r="BK659" s="34"/>
      <c r="BL659" s="34"/>
      <c r="BM659" s="34"/>
      <c r="DX659" s="1383" t="e">
        <f t="shared" si="4"/>
        <v>#VALUE!</v>
      </c>
      <c r="DY659" s="1383"/>
      <c r="DZ659" s="1383"/>
      <c r="EA659" s="1383"/>
      <c r="EB659" s="1383"/>
      <c r="EC659" s="1383" t="e">
        <f t="shared" si="5"/>
        <v>#VALUE!</v>
      </c>
      <c r="ED659" s="1383"/>
      <c r="EE659" s="1383"/>
      <c r="EF659" s="1383"/>
      <c r="EG659" s="1383"/>
      <c r="EH659" s="1383" t="e">
        <f t="shared" si="6"/>
        <v>#VALUE!</v>
      </c>
      <c r="EI659" s="1383"/>
      <c r="EJ659" s="1383"/>
      <c r="EK659" s="1383"/>
      <c r="EL659" s="1383"/>
      <c r="EM659" s="1383" t="e">
        <f t="shared" si="7"/>
        <v>#VALUE!</v>
      </c>
      <c r="EN659" s="1383"/>
      <c r="EO659" s="1383"/>
      <c r="EP659" s="1383"/>
      <c r="EQ659" s="1383"/>
      <c r="ER659" s="1383" t="e">
        <f t="shared" si="8"/>
        <v>#VALUE!</v>
      </c>
      <c r="ES659" s="1383"/>
      <c r="ET659" s="1383"/>
      <c r="EU659" s="1383"/>
      <c r="EV659" s="1383"/>
      <c r="EW659" s="1383" t="e">
        <f t="shared" si="9"/>
        <v>#VALUE!</v>
      </c>
      <c r="EX659" s="1383"/>
      <c r="EY659" s="1383"/>
      <c r="EZ659" s="1383"/>
      <c r="FA659" s="1383"/>
    </row>
    <row r="660" spans="1:157" ht="12.95" customHeight="1">
      <c r="A660" s="22"/>
      <c r="B660" t="s">
        <v>85</v>
      </c>
      <c r="G660" s="1418"/>
      <c r="H660" s="1418"/>
      <c r="I660" s="1418"/>
      <c r="J660" s="1418"/>
      <c r="K660" s="1418"/>
      <c r="L660" s="1418"/>
      <c r="M660" s="1418"/>
      <c r="N660" s="1418"/>
      <c r="O660" s="1418"/>
      <c r="P660" s="1418"/>
      <c r="Q660" s="1418"/>
      <c r="R660" s="1418"/>
      <c r="T660" s="22"/>
      <c r="U660" t="s">
        <v>85</v>
      </c>
      <c r="Z660" s="1418"/>
      <c r="AA660" s="1418"/>
      <c r="AB660" s="1418"/>
      <c r="AC660" s="1418"/>
      <c r="AD660" s="1418"/>
      <c r="AE660" s="1418"/>
      <c r="AF660" s="1418"/>
      <c r="AG660" s="1418"/>
      <c r="AH660" s="1418"/>
      <c r="AI660" s="1418"/>
      <c r="AJ660" s="1418"/>
      <c r="AK660" s="1418"/>
      <c r="AZ660" s="34"/>
      <c r="BA660" s="34"/>
      <c r="BB660" s="34"/>
      <c r="BC660" s="34"/>
      <c r="BD660" s="34"/>
      <c r="BE660" s="34"/>
      <c r="BF660" s="34"/>
      <c r="BG660" s="34"/>
      <c r="BH660" s="34"/>
      <c r="BI660" s="34"/>
      <c r="BJ660" s="34"/>
      <c r="BK660" s="34"/>
      <c r="BL660" s="34"/>
      <c r="BM660" s="34"/>
      <c r="DX660" s="1383" t="e">
        <f t="shared" si="4"/>
        <v>#VALUE!</v>
      </c>
      <c r="DY660" s="1383"/>
      <c r="DZ660" s="1383"/>
      <c r="EA660" s="1383"/>
      <c r="EB660" s="1383"/>
      <c r="EC660" s="1383" t="e">
        <f t="shared" si="5"/>
        <v>#VALUE!</v>
      </c>
      <c r="ED660" s="1383"/>
      <c r="EE660" s="1383"/>
      <c r="EF660" s="1383"/>
      <c r="EG660" s="1383"/>
      <c r="EH660" s="1383" t="e">
        <f t="shared" si="6"/>
        <v>#VALUE!</v>
      </c>
      <c r="EI660" s="1383"/>
      <c r="EJ660" s="1383"/>
      <c r="EK660" s="1383"/>
      <c r="EL660" s="1383"/>
      <c r="EM660" s="1383" t="e">
        <f t="shared" si="7"/>
        <v>#VALUE!</v>
      </c>
      <c r="EN660" s="1383"/>
      <c r="EO660" s="1383"/>
      <c r="EP660" s="1383"/>
      <c r="EQ660" s="1383"/>
      <c r="ER660" s="1383" t="e">
        <f t="shared" si="8"/>
        <v>#VALUE!</v>
      </c>
      <c r="ES660" s="1383"/>
      <c r="ET660" s="1383"/>
      <c r="EU660" s="1383"/>
      <c r="EV660" s="1383"/>
      <c r="EW660" s="1383" t="e">
        <f t="shared" si="9"/>
        <v>#VALUE!</v>
      </c>
      <c r="EX660" s="1383"/>
      <c r="EY660" s="1383"/>
      <c r="EZ660" s="1383"/>
      <c r="FA660" s="1383"/>
    </row>
    <row r="661" spans="1:157" ht="12.95" customHeight="1">
      <c r="A661" s="22"/>
      <c r="B661" t="s">
        <v>580</v>
      </c>
      <c r="G661" s="1470"/>
      <c r="H661" s="1470"/>
      <c r="I661" s="1470"/>
      <c r="J661" s="1470"/>
      <c r="K661" s="1470"/>
      <c r="L661" s="1470"/>
      <c r="M661" s="1470"/>
      <c r="N661" s="1470"/>
      <c r="O661" s="1470"/>
      <c r="P661" s="1470"/>
      <c r="Q661" s="1470"/>
      <c r="R661" s="1470"/>
      <c r="T661" s="22"/>
      <c r="U661" t="s">
        <v>580</v>
      </c>
      <c r="Z661" s="1470"/>
      <c r="AA661" s="1470"/>
      <c r="AB661" s="1470"/>
      <c r="AC661" s="1470"/>
      <c r="AD661" s="1470"/>
      <c r="AE661" s="1470"/>
      <c r="AF661" s="1470"/>
      <c r="AG661" s="1470"/>
      <c r="AH661" s="1470"/>
      <c r="AI661" s="1470"/>
      <c r="AJ661" s="1470"/>
      <c r="AK661" s="1470"/>
      <c r="AZ661" s="34"/>
      <c r="BA661" s="34"/>
      <c r="BB661" s="34"/>
      <c r="BC661" s="34"/>
      <c r="BD661" s="34"/>
      <c r="BE661" s="34"/>
      <c r="BF661" s="34"/>
      <c r="BG661" s="34"/>
      <c r="BH661" s="34"/>
      <c r="BI661" s="34"/>
      <c r="BJ661" s="34"/>
      <c r="BK661" s="34"/>
      <c r="BL661" s="34"/>
      <c r="BM661" s="34"/>
      <c r="DX661" s="1383" t="e">
        <f t="shared" si="4"/>
        <v>#VALUE!</v>
      </c>
      <c r="DY661" s="1383"/>
      <c r="DZ661" s="1383"/>
      <c r="EA661" s="1383"/>
      <c r="EB661" s="1383"/>
      <c r="EC661" s="1383" t="e">
        <f t="shared" si="5"/>
        <v>#VALUE!</v>
      </c>
      <c r="ED661" s="1383"/>
      <c r="EE661" s="1383"/>
      <c r="EF661" s="1383"/>
      <c r="EG661" s="1383"/>
      <c r="EH661" s="1383" t="e">
        <f t="shared" si="6"/>
        <v>#VALUE!</v>
      </c>
      <c r="EI661" s="1383"/>
      <c r="EJ661" s="1383"/>
      <c r="EK661" s="1383"/>
      <c r="EL661" s="1383"/>
      <c r="EM661" s="1383" t="e">
        <f t="shared" si="7"/>
        <v>#VALUE!</v>
      </c>
      <c r="EN661" s="1383"/>
      <c r="EO661" s="1383"/>
      <c r="EP661" s="1383"/>
      <c r="EQ661" s="1383"/>
      <c r="ER661" s="1383" t="e">
        <f t="shared" si="8"/>
        <v>#VALUE!</v>
      </c>
      <c r="ES661" s="1383"/>
      <c r="ET661" s="1383"/>
      <c r="EU661" s="1383"/>
      <c r="EV661" s="1383"/>
      <c r="EW661" s="1383" t="e">
        <f t="shared" si="9"/>
        <v>#VALUE!</v>
      </c>
      <c r="EX661" s="1383"/>
      <c r="EY661" s="1383"/>
      <c r="EZ661" s="1383"/>
      <c r="FA661" s="1383"/>
    </row>
    <row r="662" spans="1:157" ht="12.95" customHeight="1">
      <c r="A662" s="22"/>
      <c r="B662" t="s">
        <v>17</v>
      </c>
      <c r="G662" s="1470"/>
      <c r="H662" s="1470"/>
      <c r="I662" s="1470"/>
      <c r="J662" s="1470"/>
      <c r="K662" s="1470"/>
      <c r="L662" s="1470"/>
      <c r="M662" s="1470"/>
      <c r="N662" s="1470"/>
      <c r="O662" s="1470"/>
      <c r="P662" s="1470"/>
      <c r="Q662" s="1470"/>
      <c r="R662" s="1470"/>
      <c r="T662" s="22"/>
      <c r="U662" t="s">
        <v>17</v>
      </c>
      <c r="Z662" s="1470"/>
      <c r="AA662" s="1470"/>
      <c r="AB662" s="1470"/>
      <c r="AC662" s="1470"/>
      <c r="AD662" s="1470"/>
      <c r="AE662" s="1470"/>
      <c r="AF662" s="1470"/>
      <c r="AG662" s="1470"/>
      <c r="AH662" s="1470"/>
      <c r="AI662" s="1470"/>
      <c r="AJ662" s="1470"/>
      <c r="AK662" s="1470"/>
      <c r="AZ662" s="34"/>
      <c r="BA662" s="34"/>
      <c r="BB662" s="34"/>
      <c r="BC662" s="34"/>
      <c r="BD662" s="34"/>
      <c r="BE662" s="34"/>
      <c r="BF662" s="34"/>
      <c r="BG662" s="34"/>
      <c r="BH662" s="34"/>
      <c r="BI662" s="34"/>
      <c r="BJ662" s="34"/>
      <c r="BK662" s="34"/>
      <c r="BL662" s="34"/>
      <c r="BM662" s="34"/>
      <c r="DX662" s="1383" t="e">
        <f t="shared" si="4"/>
        <v>#VALUE!</v>
      </c>
      <c r="DY662" s="1383"/>
      <c r="DZ662" s="1383"/>
      <c r="EA662" s="1383"/>
      <c r="EB662" s="1383"/>
      <c r="EC662" s="1383" t="e">
        <f t="shared" si="5"/>
        <v>#VALUE!</v>
      </c>
      <c r="ED662" s="1383"/>
      <c r="EE662" s="1383"/>
      <c r="EF662" s="1383"/>
      <c r="EG662" s="1383"/>
      <c r="EH662" s="1383" t="e">
        <f t="shared" si="6"/>
        <v>#VALUE!</v>
      </c>
      <c r="EI662" s="1383"/>
      <c r="EJ662" s="1383"/>
      <c r="EK662" s="1383"/>
      <c r="EL662" s="1383"/>
      <c r="EM662" s="1383" t="e">
        <f t="shared" si="7"/>
        <v>#VALUE!</v>
      </c>
      <c r="EN662" s="1383"/>
      <c r="EO662" s="1383"/>
      <c r="EP662" s="1383"/>
      <c r="EQ662" s="1383"/>
      <c r="ER662" s="1383" t="e">
        <f t="shared" si="8"/>
        <v>#VALUE!</v>
      </c>
      <c r="ES662" s="1383"/>
      <c r="ET662" s="1383"/>
      <c r="EU662" s="1383"/>
      <c r="EV662" s="1383"/>
      <c r="EW662" s="1383" t="e">
        <f t="shared" si="9"/>
        <v>#VALUE!</v>
      </c>
      <c r="EX662" s="1383"/>
      <c r="EY662" s="1383"/>
      <c r="EZ662" s="1383"/>
      <c r="FA662" s="1383"/>
    </row>
    <row r="663" spans="1:157" ht="12.95" customHeight="1">
      <c r="A663" s="22"/>
      <c r="B663" t="s">
        <v>316</v>
      </c>
      <c r="G663" s="1390"/>
      <c r="H663" s="1390"/>
      <c r="I663" s="1390"/>
      <c r="J663" s="1390"/>
      <c r="K663" s="1390"/>
      <c r="L663" s="1390"/>
      <c r="O663" s="33" t="s">
        <v>206</v>
      </c>
      <c r="P663" s="1437"/>
      <c r="Q663" s="1437"/>
      <c r="R663" s="1437"/>
      <c r="T663" s="22"/>
      <c r="U663" t="s">
        <v>316</v>
      </c>
      <c r="Z663" s="1390"/>
      <c r="AA663" s="1390"/>
      <c r="AB663" s="1390"/>
      <c r="AC663" s="1390"/>
      <c r="AD663" s="1390"/>
      <c r="AE663" s="1390"/>
      <c r="AH663" s="33" t="s">
        <v>206</v>
      </c>
      <c r="AI663" s="1437"/>
      <c r="AJ663" s="1437"/>
      <c r="AK663" s="1437"/>
      <c r="AZ663" s="34"/>
      <c r="BA663" s="34"/>
      <c r="BB663" s="34"/>
      <c r="BC663" s="34"/>
      <c r="BD663" s="34"/>
      <c r="BE663" s="34"/>
      <c r="BF663" s="34"/>
      <c r="BG663" s="34"/>
      <c r="BH663" s="34"/>
      <c r="BI663" s="34"/>
      <c r="BJ663" s="34"/>
      <c r="BK663" s="34"/>
      <c r="BL663" s="34"/>
      <c r="BM663" s="34"/>
      <c r="DX663" s="1383" t="e">
        <f t="shared" si="4"/>
        <v>#VALUE!</v>
      </c>
      <c r="DY663" s="1383"/>
      <c r="DZ663" s="1383"/>
      <c r="EA663" s="1383"/>
      <c r="EB663" s="1383"/>
      <c r="EC663" s="1383" t="e">
        <f t="shared" si="5"/>
        <v>#VALUE!</v>
      </c>
      <c r="ED663" s="1383"/>
      <c r="EE663" s="1383"/>
      <c r="EF663" s="1383"/>
      <c r="EG663" s="1383"/>
      <c r="EH663" s="1383" t="e">
        <f t="shared" si="6"/>
        <v>#VALUE!</v>
      </c>
      <c r="EI663" s="1383"/>
      <c r="EJ663" s="1383"/>
      <c r="EK663" s="1383"/>
      <c r="EL663" s="1383"/>
      <c r="EM663" s="1383" t="e">
        <f t="shared" si="7"/>
        <v>#VALUE!</v>
      </c>
      <c r="EN663" s="1383"/>
      <c r="EO663" s="1383"/>
      <c r="EP663" s="1383"/>
      <c r="EQ663" s="1383"/>
      <c r="ER663" s="1383" t="e">
        <f t="shared" si="8"/>
        <v>#VALUE!</v>
      </c>
      <c r="ES663" s="1383"/>
      <c r="ET663" s="1383"/>
      <c r="EU663" s="1383"/>
      <c r="EV663" s="1383"/>
      <c r="EW663" s="1383" t="e">
        <f t="shared" si="9"/>
        <v>#VALUE!</v>
      </c>
      <c r="EX663" s="1383"/>
      <c r="EY663" s="1383"/>
      <c r="EZ663" s="1383"/>
      <c r="FA663" s="1383"/>
    </row>
    <row r="664" spans="1:157" ht="12.95" customHeight="1">
      <c r="A664" s="22"/>
      <c r="B664" t="s">
        <v>18</v>
      </c>
      <c r="H664" s="1418"/>
      <c r="I664" s="1418"/>
      <c r="J664" s="1418"/>
      <c r="K664" s="1418"/>
      <c r="L664" s="1418"/>
      <c r="M664" s="1418"/>
      <c r="N664" s="1418"/>
      <c r="O664" s="1418"/>
      <c r="P664" s="1418"/>
      <c r="Q664" s="1418"/>
      <c r="R664" s="1418"/>
      <c r="T664" s="22"/>
      <c r="U664" t="s">
        <v>18</v>
      </c>
      <c r="AA664" s="1418"/>
      <c r="AB664" s="1418"/>
      <c r="AC664" s="1418"/>
      <c r="AD664" s="1418"/>
      <c r="AE664" s="1418"/>
      <c r="AF664" s="1418"/>
      <c r="AG664" s="1418"/>
      <c r="AH664" s="1418"/>
      <c r="AI664" s="1418"/>
      <c r="AJ664" s="1418"/>
      <c r="AK664" s="1418"/>
      <c r="AZ664" s="34"/>
      <c r="BA664" s="34"/>
      <c r="BB664" s="34"/>
      <c r="BC664" s="34"/>
      <c r="BD664" s="34"/>
      <c r="BE664" s="34"/>
      <c r="BF664" s="34"/>
      <c r="BG664" s="34"/>
      <c r="BH664" s="34"/>
      <c r="BI664" s="34"/>
      <c r="BJ664" s="34"/>
      <c r="BK664" s="34"/>
      <c r="BL664" s="34"/>
      <c r="BM664" s="34"/>
      <c r="DX664" s="1383" t="e">
        <f t="shared" si="4"/>
        <v>#VALUE!</v>
      </c>
      <c r="DY664" s="1383"/>
      <c r="DZ664" s="1383"/>
      <c r="EA664" s="1383"/>
      <c r="EB664" s="1383"/>
      <c r="EC664" s="1383" t="e">
        <f t="shared" si="5"/>
        <v>#VALUE!</v>
      </c>
      <c r="ED664" s="1383"/>
      <c r="EE664" s="1383"/>
      <c r="EF664" s="1383"/>
      <c r="EG664" s="1383"/>
      <c r="EH664" s="1383" t="e">
        <f t="shared" si="6"/>
        <v>#VALUE!</v>
      </c>
      <c r="EI664" s="1383"/>
      <c r="EJ664" s="1383"/>
      <c r="EK664" s="1383"/>
      <c r="EL664" s="1383"/>
      <c r="EM664" s="1383" t="e">
        <f t="shared" si="7"/>
        <v>#VALUE!</v>
      </c>
      <c r="EN664" s="1383"/>
      <c r="EO664" s="1383"/>
      <c r="EP664" s="1383"/>
      <c r="EQ664" s="1383"/>
      <c r="ER664" s="1383" t="e">
        <f t="shared" si="8"/>
        <v>#VALUE!</v>
      </c>
      <c r="ES664" s="1383"/>
      <c r="ET664" s="1383"/>
      <c r="EU664" s="1383"/>
      <c r="EV664" s="1383"/>
      <c r="EW664" s="1383" t="e">
        <f t="shared" si="9"/>
        <v>#VALUE!</v>
      </c>
      <c r="EX664" s="1383"/>
      <c r="EY664" s="1383"/>
      <c r="EZ664" s="1383"/>
      <c r="FA664" s="1383"/>
    </row>
    <row r="665" spans="1:157" ht="12.95" customHeight="1">
      <c r="A665" s="22"/>
      <c r="B665" t="s">
        <v>20</v>
      </c>
      <c r="N665" s="1426" t="s">
        <v>669</v>
      </c>
      <c r="O665" s="1426"/>
      <c r="T665" s="22"/>
      <c r="U665" t="s">
        <v>20</v>
      </c>
      <c r="AG665" s="1426" t="s">
        <v>669</v>
      </c>
      <c r="AH665" s="1426"/>
      <c r="AZ665" s="34"/>
      <c r="BA665" s="34"/>
      <c r="BB665" s="34"/>
      <c r="BC665" s="34"/>
      <c r="BD665" s="34"/>
      <c r="BE665" s="34"/>
      <c r="BF665" s="34"/>
      <c r="BG665" s="34"/>
      <c r="BH665" s="34"/>
      <c r="BI665" s="34"/>
      <c r="BJ665" s="34"/>
      <c r="BK665" s="34"/>
      <c r="BL665" s="34"/>
      <c r="BM665" s="34"/>
      <c r="DX665" s="1383" t="e">
        <f t="shared" si="4"/>
        <v>#VALUE!</v>
      </c>
      <c r="DY665" s="1383"/>
      <c r="DZ665" s="1383"/>
      <c r="EA665" s="1383"/>
      <c r="EB665" s="1383"/>
      <c r="EC665" s="1383" t="e">
        <f t="shared" si="5"/>
        <v>#VALUE!</v>
      </c>
      <c r="ED665" s="1383"/>
      <c r="EE665" s="1383"/>
      <c r="EF665" s="1383"/>
      <c r="EG665" s="1383"/>
      <c r="EH665" s="1383" t="e">
        <f t="shared" si="6"/>
        <v>#VALUE!</v>
      </c>
      <c r="EI665" s="1383"/>
      <c r="EJ665" s="1383"/>
      <c r="EK665" s="1383"/>
      <c r="EL665" s="1383"/>
      <c r="EM665" s="1383" t="e">
        <f t="shared" si="7"/>
        <v>#VALUE!</v>
      </c>
      <c r="EN665" s="1383"/>
      <c r="EO665" s="1383"/>
      <c r="EP665" s="1383"/>
      <c r="EQ665" s="1383"/>
      <c r="ER665" s="1383" t="e">
        <f t="shared" si="8"/>
        <v>#VALUE!</v>
      </c>
      <c r="ES665" s="1383"/>
      <c r="ET665" s="1383"/>
      <c r="EU665" s="1383"/>
      <c r="EV665" s="1383"/>
      <c r="EW665" s="1383" t="e">
        <f t="shared" si="9"/>
        <v>#VALUE!</v>
      </c>
      <c r="EX665" s="1383"/>
      <c r="EY665" s="1383"/>
      <c r="EZ665" s="1383"/>
      <c r="FA665" s="1383"/>
    </row>
    <row r="666" spans="1:157" ht="12.95" customHeight="1">
      <c r="A666" s="22"/>
      <c r="T666" s="22"/>
      <c r="AZ666" s="34"/>
      <c r="BA666" s="34"/>
      <c r="BB666" s="34"/>
      <c r="BC666" s="34"/>
      <c r="BD666" s="34"/>
      <c r="BE666" s="34"/>
      <c r="BF666" s="34"/>
      <c r="BG666" s="34"/>
      <c r="BH666" s="34"/>
      <c r="BI666" s="34"/>
      <c r="BJ666" s="34"/>
      <c r="BK666" s="34"/>
      <c r="BL666" s="34"/>
      <c r="BM666" s="34"/>
      <c r="DX666" s="1383" t="e">
        <f t="shared" si="4"/>
        <v>#VALUE!</v>
      </c>
      <c r="DY666" s="1383"/>
      <c r="DZ666" s="1383"/>
      <c r="EA666" s="1383"/>
      <c r="EB666" s="1383"/>
      <c r="EC666" s="1383" t="e">
        <f t="shared" si="5"/>
        <v>#VALUE!</v>
      </c>
      <c r="ED666" s="1383"/>
      <c r="EE666" s="1383"/>
      <c r="EF666" s="1383"/>
      <c r="EG666" s="1383"/>
      <c r="EH666" s="1383" t="e">
        <f t="shared" si="6"/>
        <v>#VALUE!</v>
      </c>
      <c r="EI666" s="1383"/>
      <c r="EJ666" s="1383"/>
      <c r="EK666" s="1383"/>
      <c r="EL666" s="1383"/>
      <c r="EM666" s="1383" t="e">
        <f t="shared" si="7"/>
        <v>#VALUE!</v>
      </c>
      <c r="EN666" s="1383"/>
      <c r="EO666" s="1383"/>
      <c r="EP666" s="1383"/>
      <c r="EQ666" s="1383"/>
      <c r="ER666" s="1383" t="e">
        <f t="shared" si="8"/>
        <v>#VALUE!</v>
      </c>
      <c r="ES666" s="1383"/>
      <c r="ET666" s="1383"/>
      <c r="EU666" s="1383"/>
      <c r="EV666" s="1383"/>
      <c r="EW666" s="1383" t="e">
        <f t="shared" si="9"/>
        <v>#VALUE!</v>
      </c>
      <c r="EX666" s="1383"/>
      <c r="EY666" s="1383"/>
      <c r="EZ666" s="1383"/>
      <c r="FA666" s="1383"/>
    </row>
    <row r="667" spans="1:157" ht="12.95" customHeight="1">
      <c r="A667" s="55" t="s">
        <v>763</v>
      </c>
      <c r="B667" t="s">
        <v>463</v>
      </c>
      <c r="G667" s="1391">
        <f>C639</f>
        <v>0</v>
      </c>
      <c r="H667" s="1391"/>
      <c r="I667" s="1391"/>
      <c r="J667" s="1391"/>
      <c r="K667" s="1391"/>
      <c r="L667" s="1391"/>
      <c r="M667" s="1391"/>
      <c r="N667" s="1391"/>
      <c r="O667" s="1391"/>
      <c r="P667" s="1391"/>
      <c r="Q667" s="1391"/>
      <c r="R667" s="1391"/>
      <c r="T667" s="55" t="s">
        <v>584</v>
      </c>
      <c r="U667" t="s">
        <v>463</v>
      </c>
      <c r="Z667" s="1391">
        <f>C640</f>
        <v>0</v>
      </c>
      <c r="AA667" s="1391"/>
      <c r="AB667" s="1391"/>
      <c r="AC667" s="1391"/>
      <c r="AD667" s="1391"/>
      <c r="AE667" s="1391"/>
      <c r="AF667" s="1391"/>
      <c r="AG667" s="1391"/>
      <c r="AH667" s="1391"/>
      <c r="AI667" s="1391"/>
      <c r="AJ667" s="1391"/>
      <c r="AK667" s="1391"/>
      <c r="AZ667" s="34"/>
      <c r="BA667" s="34"/>
      <c r="BB667" s="34"/>
      <c r="BC667" s="34"/>
      <c r="BD667" s="34"/>
      <c r="BE667" s="34"/>
      <c r="BF667" s="34"/>
      <c r="BG667" s="34"/>
      <c r="BH667" s="34"/>
      <c r="BI667" s="34"/>
      <c r="BJ667" s="34"/>
      <c r="BK667" s="34"/>
      <c r="BL667" s="34"/>
      <c r="BM667" s="34"/>
      <c r="DX667" s="1383" t="e">
        <f t="shared" si="4"/>
        <v>#VALUE!</v>
      </c>
      <c r="DY667" s="1383"/>
      <c r="DZ667" s="1383"/>
      <c r="EA667" s="1383"/>
      <c r="EB667" s="1383"/>
      <c r="EC667" s="1383" t="e">
        <f t="shared" si="5"/>
        <v>#VALUE!</v>
      </c>
      <c r="ED667" s="1383"/>
      <c r="EE667" s="1383"/>
      <c r="EF667" s="1383"/>
      <c r="EG667" s="1383"/>
      <c r="EH667" s="1383" t="e">
        <f t="shared" si="6"/>
        <v>#VALUE!</v>
      </c>
      <c r="EI667" s="1383"/>
      <c r="EJ667" s="1383"/>
      <c r="EK667" s="1383"/>
      <c r="EL667" s="1383"/>
      <c r="EM667" s="1383" t="e">
        <f t="shared" si="7"/>
        <v>#VALUE!</v>
      </c>
      <c r="EN667" s="1383"/>
      <c r="EO667" s="1383"/>
      <c r="EP667" s="1383"/>
      <c r="EQ667" s="1383"/>
      <c r="ER667" s="1383" t="e">
        <f t="shared" si="8"/>
        <v>#VALUE!</v>
      </c>
      <c r="ES667" s="1383"/>
      <c r="ET667" s="1383"/>
      <c r="EU667" s="1383"/>
      <c r="EV667" s="1383"/>
      <c r="EW667" s="1383" t="e">
        <f t="shared" si="9"/>
        <v>#VALUE!</v>
      </c>
      <c r="EX667" s="1383"/>
      <c r="EY667" s="1383"/>
      <c r="EZ667" s="1383"/>
      <c r="FA667" s="1383"/>
    </row>
    <row r="668" spans="1:157" ht="12.95" customHeight="1">
      <c r="A668" s="22"/>
      <c r="B668" t="s">
        <v>85</v>
      </c>
      <c r="G668" s="1418"/>
      <c r="H668" s="1418"/>
      <c r="I668" s="1418"/>
      <c r="J668" s="1418"/>
      <c r="K668" s="1418"/>
      <c r="L668" s="1418"/>
      <c r="M668" s="1418"/>
      <c r="N668" s="1418"/>
      <c r="O668" s="1418"/>
      <c r="P668" s="1418"/>
      <c r="Q668" s="1418"/>
      <c r="R668" s="1418"/>
      <c r="T668" s="22"/>
      <c r="U668" t="s">
        <v>85</v>
      </c>
      <c r="Z668" s="1418"/>
      <c r="AA668" s="1418"/>
      <c r="AB668" s="1418"/>
      <c r="AC668" s="1418"/>
      <c r="AD668" s="1418"/>
      <c r="AE668" s="1418"/>
      <c r="AF668" s="1418"/>
      <c r="AG668" s="1418"/>
      <c r="AH668" s="1418"/>
      <c r="AI668" s="1418"/>
      <c r="AJ668" s="1418"/>
      <c r="AK668" s="1418"/>
      <c r="AZ668" s="34"/>
      <c r="BA668" s="34"/>
      <c r="BB668" s="34"/>
      <c r="BC668" s="34"/>
      <c r="BD668" s="34"/>
      <c r="BE668" s="34"/>
      <c r="BF668" s="34"/>
      <c r="BG668" s="34"/>
      <c r="BH668" s="34"/>
      <c r="BI668" s="34"/>
      <c r="BJ668" s="34"/>
      <c r="BK668" s="34"/>
      <c r="BL668" s="34"/>
      <c r="BM668" s="34"/>
      <c r="DX668" s="1383" t="e">
        <f t="shared" si="4"/>
        <v>#VALUE!</v>
      </c>
      <c r="DY668" s="1383"/>
      <c r="DZ668" s="1383"/>
      <c r="EA668" s="1383"/>
      <c r="EB668" s="1383"/>
      <c r="EC668" s="1383" t="e">
        <f t="shared" si="5"/>
        <v>#VALUE!</v>
      </c>
      <c r="ED668" s="1383"/>
      <c r="EE668" s="1383"/>
      <c r="EF668" s="1383"/>
      <c r="EG668" s="1383"/>
      <c r="EH668" s="1383" t="e">
        <f t="shared" si="6"/>
        <v>#VALUE!</v>
      </c>
      <c r="EI668" s="1383"/>
      <c r="EJ668" s="1383"/>
      <c r="EK668" s="1383"/>
      <c r="EL668" s="1383"/>
      <c r="EM668" s="1383" t="e">
        <f t="shared" si="7"/>
        <v>#VALUE!</v>
      </c>
      <c r="EN668" s="1383"/>
      <c r="EO668" s="1383"/>
      <c r="EP668" s="1383"/>
      <c r="EQ668" s="1383"/>
      <c r="ER668" s="1383" t="e">
        <f t="shared" si="8"/>
        <v>#VALUE!</v>
      </c>
      <c r="ES668" s="1383"/>
      <c r="ET668" s="1383"/>
      <c r="EU668" s="1383"/>
      <c r="EV668" s="1383"/>
      <c r="EW668" s="1383" t="e">
        <f t="shared" si="9"/>
        <v>#VALUE!</v>
      </c>
      <c r="EX668" s="1383"/>
      <c r="EY668" s="1383"/>
      <c r="EZ668" s="1383"/>
      <c r="FA668" s="1383"/>
    </row>
    <row r="669" spans="1:157" ht="12.95" customHeight="1">
      <c r="A669" s="22"/>
      <c r="B669" t="s">
        <v>580</v>
      </c>
      <c r="G669" s="1418"/>
      <c r="H669" s="1418"/>
      <c r="I669" s="1418"/>
      <c r="J669" s="1418"/>
      <c r="K669" s="1418"/>
      <c r="L669" s="1418"/>
      <c r="M669" s="1418"/>
      <c r="N669" s="1418"/>
      <c r="O669" s="1418"/>
      <c r="P669" s="1418"/>
      <c r="Q669" s="1418"/>
      <c r="R669" s="1418"/>
      <c r="T669" s="22"/>
      <c r="U669" t="s">
        <v>580</v>
      </c>
      <c r="Z669" s="1470"/>
      <c r="AA669" s="1470"/>
      <c r="AB669" s="1470"/>
      <c r="AC669" s="1470"/>
      <c r="AD669" s="1470"/>
      <c r="AE669" s="1470"/>
      <c r="AF669" s="1470"/>
      <c r="AG669" s="1470"/>
      <c r="AH669" s="1470"/>
      <c r="AI669" s="1470"/>
      <c r="AJ669" s="1470"/>
      <c r="AK669" s="1470"/>
      <c r="AZ669" s="34"/>
      <c r="BA669" s="34"/>
      <c r="BB669" s="34"/>
      <c r="BC669" s="34"/>
      <c r="BD669" s="34"/>
      <c r="BE669" s="34"/>
      <c r="BF669" s="34"/>
      <c r="BG669" s="34"/>
      <c r="BH669" s="34"/>
      <c r="BI669" s="34"/>
      <c r="BJ669" s="34"/>
      <c r="BK669" s="34"/>
      <c r="BL669" s="34"/>
      <c r="BM669" s="34"/>
      <c r="DX669" s="1383" t="e">
        <f t="shared" si="4"/>
        <v>#VALUE!</v>
      </c>
      <c r="DY669" s="1383"/>
      <c r="DZ669" s="1383"/>
      <c r="EA669" s="1383"/>
      <c r="EB669" s="1383"/>
      <c r="EC669" s="1383" t="e">
        <f t="shared" si="5"/>
        <v>#VALUE!</v>
      </c>
      <c r="ED669" s="1383"/>
      <c r="EE669" s="1383"/>
      <c r="EF669" s="1383"/>
      <c r="EG669" s="1383"/>
      <c r="EH669" s="1383" t="e">
        <f t="shared" si="6"/>
        <v>#VALUE!</v>
      </c>
      <c r="EI669" s="1383"/>
      <c r="EJ669" s="1383"/>
      <c r="EK669" s="1383"/>
      <c r="EL669" s="1383"/>
      <c r="EM669" s="1383" t="e">
        <f t="shared" si="7"/>
        <v>#VALUE!</v>
      </c>
      <c r="EN669" s="1383"/>
      <c r="EO669" s="1383"/>
      <c r="EP669" s="1383"/>
      <c r="EQ669" s="1383"/>
      <c r="ER669" s="1383" t="e">
        <f t="shared" si="8"/>
        <v>#VALUE!</v>
      </c>
      <c r="ES669" s="1383"/>
      <c r="ET669" s="1383"/>
      <c r="EU669" s="1383"/>
      <c r="EV669" s="1383"/>
      <c r="EW669" s="1383" t="e">
        <f t="shared" si="9"/>
        <v>#VALUE!</v>
      </c>
      <c r="EX669" s="1383"/>
      <c r="EY669" s="1383"/>
      <c r="EZ669" s="1383"/>
      <c r="FA669" s="1383"/>
    </row>
    <row r="670" spans="1:157" ht="12.95" customHeight="1">
      <c r="A670" s="22"/>
      <c r="B670" t="s">
        <v>17</v>
      </c>
      <c r="G670" s="1418"/>
      <c r="H670" s="1418"/>
      <c r="I670" s="1418"/>
      <c r="J670" s="1418"/>
      <c r="K670" s="1418"/>
      <c r="L670" s="1418"/>
      <c r="M670" s="1418"/>
      <c r="N670" s="1418"/>
      <c r="O670" s="1418"/>
      <c r="P670" s="1418"/>
      <c r="Q670" s="1418"/>
      <c r="R670" s="1418"/>
      <c r="T670" s="22"/>
      <c r="U670" t="s">
        <v>17</v>
      </c>
      <c r="Z670" s="1470"/>
      <c r="AA670" s="1470"/>
      <c r="AB670" s="1470"/>
      <c r="AC670" s="1470"/>
      <c r="AD670" s="1470"/>
      <c r="AE670" s="1470"/>
      <c r="AF670" s="1470"/>
      <c r="AG670" s="1470"/>
      <c r="AH670" s="1470"/>
      <c r="AI670" s="1470"/>
      <c r="AJ670" s="1470"/>
      <c r="AK670" s="147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3" t="e">
        <f t="shared" si="4"/>
        <v>#VALUE!</v>
      </c>
      <c r="DY670" s="1383"/>
      <c r="DZ670" s="1383"/>
      <c r="EA670" s="1383"/>
      <c r="EB670" s="1383"/>
      <c r="EC670" s="1383" t="e">
        <f t="shared" si="5"/>
        <v>#VALUE!</v>
      </c>
      <c r="ED670" s="1383"/>
      <c r="EE670" s="1383"/>
      <c r="EF670" s="1383"/>
      <c r="EG670" s="1383"/>
      <c r="EH670" s="1383" t="e">
        <f t="shared" si="6"/>
        <v>#VALUE!</v>
      </c>
      <c r="EI670" s="1383"/>
      <c r="EJ670" s="1383"/>
      <c r="EK670" s="1383"/>
      <c r="EL670" s="1383"/>
      <c r="EM670" s="1383" t="e">
        <f t="shared" si="7"/>
        <v>#VALUE!</v>
      </c>
      <c r="EN670" s="1383"/>
      <c r="EO670" s="1383"/>
      <c r="EP670" s="1383"/>
      <c r="EQ670" s="1383"/>
      <c r="ER670" s="1383" t="e">
        <f t="shared" si="8"/>
        <v>#VALUE!</v>
      </c>
      <c r="ES670" s="1383"/>
      <c r="ET670" s="1383"/>
      <c r="EU670" s="1383"/>
      <c r="EV670" s="1383"/>
      <c r="EW670" s="1383" t="e">
        <f t="shared" si="9"/>
        <v>#VALUE!</v>
      </c>
      <c r="EX670" s="1383"/>
      <c r="EY670" s="1383"/>
      <c r="EZ670" s="1383"/>
      <c r="FA670" s="1383"/>
    </row>
    <row r="671" spans="1:157" ht="12.95" customHeight="1">
      <c r="A671" s="22"/>
      <c r="B671" t="s">
        <v>316</v>
      </c>
      <c r="G671" s="1390"/>
      <c r="H671" s="1390"/>
      <c r="I671" s="1390"/>
      <c r="J671" s="1390"/>
      <c r="K671" s="1390"/>
      <c r="L671" s="1390"/>
      <c r="O671" s="33" t="s">
        <v>206</v>
      </c>
      <c r="P671" s="1437"/>
      <c r="Q671" s="1437"/>
      <c r="R671" s="1437"/>
      <c r="T671" s="22"/>
      <c r="U671" t="s">
        <v>316</v>
      </c>
      <c r="Z671" s="1390"/>
      <c r="AA671" s="1390"/>
      <c r="AB671" s="1390"/>
      <c r="AC671" s="1390"/>
      <c r="AD671" s="1390"/>
      <c r="AE671" s="1390"/>
      <c r="AH671" s="33" t="s">
        <v>206</v>
      </c>
      <c r="AI671" s="1437"/>
      <c r="AJ671" s="1437"/>
      <c r="AK671" s="143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3" t="e">
        <f t="shared" si="4"/>
        <v>#VALUE!</v>
      </c>
      <c r="DY671" s="1383"/>
      <c r="DZ671" s="1383"/>
      <c r="EA671" s="1383"/>
      <c r="EB671" s="1383"/>
      <c r="EC671" s="1383" t="e">
        <f t="shared" si="5"/>
        <v>#VALUE!</v>
      </c>
      <c r="ED671" s="1383"/>
      <c r="EE671" s="1383"/>
      <c r="EF671" s="1383"/>
      <c r="EG671" s="1383"/>
      <c r="EH671" s="1383" t="e">
        <f t="shared" si="6"/>
        <v>#VALUE!</v>
      </c>
      <c r="EI671" s="1383"/>
      <c r="EJ671" s="1383"/>
      <c r="EK671" s="1383"/>
      <c r="EL671" s="1383"/>
      <c r="EM671" s="1383" t="e">
        <f t="shared" si="7"/>
        <v>#VALUE!</v>
      </c>
      <c r="EN671" s="1383"/>
      <c r="EO671" s="1383"/>
      <c r="EP671" s="1383"/>
      <c r="EQ671" s="1383"/>
      <c r="ER671" s="1383" t="e">
        <f t="shared" si="8"/>
        <v>#VALUE!</v>
      </c>
      <c r="ES671" s="1383"/>
      <c r="ET671" s="1383"/>
      <c r="EU671" s="1383"/>
      <c r="EV671" s="1383"/>
      <c r="EW671" s="1383" t="e">
        <f t="shared" si="9"/>
        <v>#VALUE!</v>
      </c>
      <c r="EX671" s="1383"/>
      <c r="EY671" s="1383"/>
      <c r="EZ671" s="1383"/>
      <c r="FA671" s="1383"/>
    </row>
    <row r="672" spans="1:157" ht="12.95" customHeight="1">
      <c r="A672" s="22"/>
      <c r="B672" t="s">
        <v>18</v>
      </c>
      <c r="H672" s="1418"/>
      <c r="I672" s="1418"/>
      <c r="J672" s="1418"/>
      <c r="K672" s="1418"/>
      <c r="L672" s="1418"/>
      <c r="M672" s="1418"/>
      <c r="N672" s="1418"/>
      <c r="O672" s="1418"/>
      <c r="P672" s="1418"/>
      <c r="Q672" s="1418"/>
      <c r="R672" s="1418"/>
      <c r="T672" s="22"/>
      <c r="U672" t="s">
        <v>18</v>
      </c>
      <c r="AA672" s="1418"/>
      <c r="AB672" s="1418"/>
      <c r="AC672" s="1418"/>
      <c r="AD672" s="1418"/>
      <c r="AE672" s="1418"/>
      <c r="AF672" s="1418"/>
      <c r="AG672" s="1418"/>
      <c r="AH672" s="1418"/>
      <c r="AI672" s="1418"/>
      <c r="AJ672" s="1418"/>
      <c r="AK672" s="1418"/>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3" t="e">
        <f t="shared" si="4"/>
        <v>#VALUE!</v>
      </c>
      <c r="DY672" s="1383"/>
      <c r="DZ672" s="1383"/>
      <c r="EA672" s="1383"/>
      <c r="EB672" s="1383"/>
      <c r="EC672" s="1383" t="e">
        <f t="shared" si="5"/>
        <v>#VALUE!</v>
      </c>
      <c r="ED672" s="1383"/>
      <c r="EE672" s="1383"/>
      <c r="EF672" s="1383"/>
      <c r="EG672" s="1383"/>
      <c r="EH672" s="1383" t="e">
        <f t="shared" si="6"/>
        <v>#VALUE!</v>
      </c>
      <c r="EI672" s="1383"/>
      <c r="EJ672" s="1383"/>
      <c r="EK672" s="1383"/>
      <c r="EL672" s="1383"/>
      <c r="EM672" s="1383" t="e">
        <f t="shared" si="7"/>
        <v>#VALUE!</v>
      </c>
      <c r="EN672" s="1383"/>
      <c r="EO672" s="1383"/>
      <c r="EP672" s="1383"/>
      <c r="EQ672" s="1383"/>
      <c r="ER672" s="1383" t="e">
        <f t="shared" si="8"/>
        <v>#VALUE!</v>
      </c>
      <c r="ES672" s="1383"/>
      <c r="ET672" s="1383"/>
      <c r="EU672" s="1383"/>
      <c r="EV672" s="1383"/>
      <c r="EW672" s="1383" t="e">
        <f t="shared" si="9"/>
        <v>#VALUE!</v>
      </c>
      <c r="EX672" s="1383"/>
      <c r="EY672" s="1383"/>
      <c r="EZ672" s="1383"/>
      <c r="FA672" s="1383"/>
    </row>
    <row r="673" spans="1:157" ht="12.95" customHeight="1">
      <c r="A673" s="22"/>
      <c r="B673" t="s">
        <v>20</v>
      </c>
      <c r="N673" s="1426" t="s">
        <v>669</v>
      </c>
      <c r="O673" s="1426"/>
      <c r="T673" s="22"/>
      <c r="U673" t="s">
        <v>20</v>
      </c>
      <c r="AG673" s="1426" t="s">
        <v>669</v>
      </c>
      <c r="AH673" s="142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3" t="e">
        <f t="shared" si="4"/>
        <v>#VALUE!</v>
      </c>
      <c r="DY673" s="1383"/>
      <c r="DZ673" s="1383"/>
      <c r="EA673" s="1383"/>
      <c r="EB673" s="1383"/>
      <c r="EC673" s="1383" t="e">
        <f t="shared" si="5"/>
        <v>#VALUE!</v>
      </c>
      <c r="ED673" s="1383"/>
      <c r="EE673" s="1383"/>
      <c r="EF673" s="1383"/>
      <c r="EG673" s="1383"/>
      <c r="EH673" s="1383" t="e">
        <f t="shared" si="6"/>
        <v>#VALUE!</v>
      </c>
      <c r="EI673" s="1383"/>
      <c r="EJ673" s="1383"/>
      <c r="EK673" s="1383"/>
      <c r="EL673" s="1383"/>
      <c r="EM673" s="1383" t="e">
        <f t="shared" si="7"/>
        <v>#VALUE!</v>
      </c>
      <c r="EN673" s="1383"/>
      <c r="EO673" s="1383"/>
      <c r="EP673" s="1383"/>
      <c r="EQ673" s="1383"/>
      <c r="ER673" s="1383" t="e">
        <f t="shared" si="8"/>
        <v>#VALUE!</v>
      </c>
      <c r="ES673" s="1383"/>
      <c r="ET673" s="1383"/>
      <c r="EU673" s="1383"/>
      <c r="EV673" s="1383"/>
      <c r="EW673" s="1383" t="e">
        <f t="shared" si="9"/>
        <v>#VALUE!</v>
      </c>
      <c r="EX673" s="1383"/>
      <c r="EY673" s="1383"/>
      <c r="EZ673" s="1383"/>
      <c r="FA673" s="1383"/>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3" t="e">
        <f t="shared" si="4"/>
        <v>#VALUE!</v>
      </c>
      <c r="DY674" s="1383"/>
      <c r="DZ674" s="1383"/>
      <c r="EA674" s="1383"/>
      <c r="EB674" s="1383"/>
      <c r="EC674" s="1383" t="e">
        <f t="shared" si="5"/>
        <v>#VALUE!</v>
      </c>
      <c r="ED674" s="1383"/>
      <c r="EE674" s="1383"/>
      <c r="EF674" s="1383"/>
      <c r="EG674" s="1383"/>
      <c r="EH674" s="1383" t="e">
        <f t="shared" si="6"/>
        <v>#VALUE!</v>
      </c>
      <c r="EI674" s="1383"/>
      <c r="EJ674" s="1383"/>
      <c r="EK674" s="1383"/>
      <c r="EL674" s="1383"/>
      <c r="EM674" s="1383" t="e">
        <f t="shared" si="7"/>
        <v>#VALUE!</v>
      </c>
      <c r="EN674" s="1383"/>
      <c r="EO674" s="1383"/>
      <c r="EP674" s="1383"/>
      <c r="EQ674" s="1383"/>
      <c r="ER674" s="1383" t="e">
        <f t="shared" si="8"/>
        <v>#VALUE!</v>
      </c>
      <c r="ES674" s="1383"/>
      <c r="ET674" s="1383"/>
      <c r="EU674" s="1383"/>
      <c r="EV674" s="1383"/>
      <c r="EW674" s="1383" t="e">
        <f t="shared" si="9"/>
        <v>#VALUE!</v>
      </c>
      <c r="EX674" s="1383"/>
      <c r="EY674" s="1383"/>
      <c r="EZ674" s="1383"/>
      <c r="FA674" s="1383"/>
    </row>
    <row r="675" spans="1:157" ht="12.95" customHeight="1">
      <c r="A675" s="55" t="s">
        <v>455</v>
      </c>
      <c r="B675" t="s">
        <v>463</v>
      </c>
      <c r="G675" s="1391">
        <f>C641</f>
        <v>0</v>
      </c>
      <c r="H675" s="1391"/>
      <c r="I675" s="1391"/>
      <c r="J675" s="1391"/>
      <c r="K675" s="1391"/>
      <c r="L675" s="1391"/>
      <c r="M675" s="1391"/>
      <c r="N675" s="1391"/>
      <c r="O675" s="1391"/>
      <c r="P675" s="1391"/>
      <c r="Q675" s="1391"/>
      <c r="R675" s="1391"/>
      <c r="T675" s="55" t="s">
        <v>456</v>
      </c>
      <c r="U675" t="s">
        <v>463</v>
      </c>
      <c r="Z675" s="1391">
        <f>C642</f>
        <v>0</v>
      </c>
      <c r="AA675" s="1391"/>
      <c r="AB675" s="1391"/>
      <c r="AC675" s="1391"/>
      <c r="AD675" s="1391"/>
      <c r="AE675" s="1391"/>
      <c r="AF675" s="1391"/>
      <c r="AG675" s="1391"/>
      <c r="AH675" s="1391"/>
      <c r="AI675" s="1391"/>
      <c r="AJ675" s="1391"/>
      <c r="AK675" s="1391"/>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3" t="e">
        <f t="shared" si="4"/>
        <v>#VALUE!</v>
      </c>
      <c r="DY675" s="1383"/>
      <c r="DZ675" s="1383"/>
      <c r="EA675" s="1383"/>
      <c r="EB675" s="1383"/>
      <c r="EC675" s="1383" t="e">
        <f t="shared" si="5"/>
        <v>#VALUE!</v>
      </c>
      <c r="ED675" s="1383"/>
      <c r="EE675" s="1383"/>
      <c r="EF675" s="1383"/>
      <c r="EG675" s="1383"/>
      <c r="EH675" s="1383" t="e">
        <f t="shared" si="6"/>
        <v>#VALUE!</v>
      </c>
      <c r="EI675" s="1383"/>
      <c r="EJ675" s="1383"/>
      <c r="EK675" s="1383"/>
      <c r="EL675" s="1383"/>
      <c r="EM675" s="1383" t="e">
        <f t="shared" si="7"/>
        <v>#VALUE!</v>
      </c>
      <c r="EN675" s="1383"/>
      <c r="EO675" s="1383"/>
      <c r="EP675" s="1383"/>
      <c r="EQ675" s="1383"/>
      <c r="ER675" s="1383" t="e">
        <f t="shared" si="8"/>
        <v>#VALUE!</v>
      </c>
      <c r="ES675" s="1383"/>
      <c r="ET675" s="1383"/>
      <c r="EU675" s="1383"/>
      <c r="EV675" s="1383"/>
      <c r="EW675" s="1383" t="e">
        <f t="shared" si="9"/>
        <v>#VALUE!</v>
      </c>
      <c r="EX675" s="1383"/>
      <c r="EY675" s="1383"/>
      <c r="EZ675" s="1383"/>
      <c r="FA675" s="1383"/>
    </row>
    <row r="676" spans="1:157" ht="12.95" customHeight="1">
      <c r="A676" s="22"/>
      <c r="B676" t="s">
        <v>85</v>
      </c>
      <c r="G676" s="1418"/>
      <c r="H676" s="1418"/>
      <c r="I676" s="1418"/>
      <c r="J676" s="1418"/>
      <c r="K676" s="1418"/>
      <c r="L676" s="1418"/>
      <c r="M676" s="1418"/>
      <c r="N676" s="1418"/>
      <c r="O676" s="1418"/>
      <c r="P676" s="1418"/>
      <c r="Q676" s="1418"/>
      <c r="R676" s="1418"/>
      <c r="T676" s="22"/>
      <c r="U676" t="s">
        <v>85</v>
      </c>
      <c r="Z676" s="1418"/>
      <c r="AA676" s="1418"/>
      <c r="AB676" s="1418"/>
      <c r="AC676" s="1418"/>
      <c r="AD676" s="1418"/>
      <c r="AE676" s="1418"/>
      <c r="AF676" s="1418"/>
      <c r="AG676" s="1418"/>
      <c r="AH676" s="1418"/>
      <c r="AI676" s="1418"/>
      <c r="AJ676" s="1418"/>
      <c r="AK676" s="1418"/>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3" t="e">
        <f t="shared" si="4"/>
        <v>#VALUE!</v>
      </c>
      <c r="DY676" s="1383"/>
      <c r="DZ676" s="1383"/>
      <c r="EA676" s="1383"/>
      <c r="EB676" s="1383"/>
      <c r="EC676" s="1383" t="e">
        <f t="shared" si="5"/>
        <v>#VALUE!</v>
      </c>
      <c r="ED676" s="1383"/>
      <c r="EE676" s="1383"/>
      <c r="EF676" s="1383"/>
      <c r="EG676" s="1383"/>
      <c r="EH676" s="1383" t="e">
        <f t="shared" si="6"/>
        <v>#VALUE!</v>
      </c>
      <c r="EI676" s="1383"/>
      <c r="EJ676" s="1383"/>
      <c r="EK676" s="1383"/>
      <c r="EL676" s="1383"/>
      <c r="EM676" s="1383" t="e">
        <f t="shared" si="7"/>
        <v>#VALUE!</v>
      </c>
      <c r="EN676" s="1383"/>
      <c r="EO676" s="1383"/>
      <c r="EP676" s="1383"/>
      <c r="EQ676" s="1383"/>
      <c r="ER676" s="1383" t="e">
        <f t="shared" si="8"/>
        <v>#VALUE!</v>
      </c>
      <c r="ES676" s="1383"/>
      <c r="ET676" s="1383"/>
      <c r="EU676" s="1383"/>
      <c r="EV676" s="1383"/>
      <c r="EW676" s="1383" t="e">
        <f t="shared" si="9"/>
        <v>#VALUE!</v>
      </c>
      <c r="EX676" s="1383"/>
      <c r="EY676" s="1383"/>
      <c r="EZ676" s="1383"/>
      <c r="FA676" s="1383"/>
    </row>
    <row r="677" spans="1:157" ht="12.95" customHeight="1">
      <c r="A677" s="22"/>
      <c r="B677" t="s">
        <v>580</v>
      </c>
      <c r="G677" s="1418"/>
      <c r="H677" s="1418"/>
      <c r="I677" s="1418"/>
      <c r="J677" s="1418"/>
      <c r="K677" s="1418"/>
      <c r="L677" s="1418"/>
      <c r="M677" s="1418"/>
      <c r="N677" s="1418"/>
      <c r="O677" s="1418"/>
      <c r="P677" s="1418"/>
      <c r="Q677" s="1418"/>
      <c r="R677" s="1418"/>
      <c r="T677" s="22"/>
      <c r="U677" t="s">
        <v>580</v>
      </c>
      <c r="Z677" s="1470"/>
      <c r="AA677" s="1470"/>
      <c r="AB677" s="1470"/>
      <c r="AC677" s="1470"/>
      <c r="AD677" s="1470"/>
      <c r="AE677" s="1470"/>
      <c r="AF677" s="1470"/>
      <c r="AG677" s="1470"/>
      <c r="AH677" s="1470"/>
      <c r="AI677" s="1470"/>
      <c r="AJ677" s="1470"/>
      <c r="AK677" s="147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3" t="e">
        <f t="shared" si="4"/>
        <v>#VALUE!</v>
      </c>
      <c r="DY677" s="1383"/>
      <c r="DZ677" s="1383"/>
      <c r="EA677" s="1383"/>
      <c r="EB677" s="1383"/>
      <c r="EC677" s="1383" t="e">
        <f t="shared" si="5"/>
        <v>#VALUE!</v>
      </c>
      <c r="ED677" s="1383"/>
      <c r="EE677" s="1383"/>
      <c r="EF677" s="1383"/>
      <c r="EG677" s="1383"/>
      <c r="EH677" s="1383" t="e">
        <f t="shared" si="6"/>
        <v>#VALUE!</v>
      </c>
      <c r="EI677" s="1383"/>
      <c r="EJ677" s="1383"/>
      <c r="EK677" s="1383"/>
      <c r="EL677" s="1383"/>
      <c r="EM677" s="1383" t="e">
        <f t="shared" si="7"/>
        <v>#VALUE!</v>
      </c>
      <c r="EN677" s="1383"/>
      <c r="EO677" s="1383"/>
      <c r="EP677" s="1383"/>
      <c r="EQ677" s="1383"/>
      <c r="ER677" s="1383" t="e">
        <f t="shared" si="8"/>
        <v>#VALUE!</v>
      </c>
      <c r="ES677" s="1383"/>
      <c r="ET677" s="1383"/>
      <c r="EU677" s="1383"/>
      <c r="EV677" s="1383"/>
      <c r="EW677" s="1383" t="e">
        <f t="shared" si="9"/>
        <v>#VALUE!</v>
      </c>
      <c r="EX677" s="1383"/>
      <c r="EY677" s="1383"/>
      <c r="EZ677" s="1383"/>
      <c r="FA677" s="1383"/>
    </row>
    <row r="678" spans="1:157" ht="12.95" customHeight="1">
      <c r="A678" s="22"/>
      <c r="B678" t="s">
        <v>17</v>
      </c>
      <c r="G678" s="1418"/>
      <c r="H678" s="1418"/>
      <c r="I678" s="1418"/>
      <c r="J678" s="1418"/>
      <c r="K678" s="1418"/>
      <c r="L678" s="1418"/>
      <c r="M678" s="1418"/>
      <c r="N678" s="1418"/>
      <c r="O678" s="1418"/>
      <c r="P678" s="1418"/>
      <c r="Q678" s="1418"/>
      <c r="R678" s="1418"/>
      <c r="T678" s="22"/>
      <c r="U678" t="s">
        <v>17</v>
      </c>
      <c r="Z678" s="1470"/>
      <c r="AA678" s="1470"/>
      <c r="AB678" s="1470"/>
      <c r="AC678" s="1470"/>
      <c r="AD678" s="1470"/>
      <c r="AE678" s="1470"/>
      <c r="AF678" s="1470"/>
      <c r="AG678" s="1470"/>
      <c r="AH678" s="1470"/>
      <c r="AI678" s="1470"/>
      <c r="AJ678" s="1470"/>
      <c r="AK678" s="147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3">
        <f>SUMIF(DX643:EB677,"&gt;0")</f>
        <v>0</v>
      </c>
      <c r="DY678" s="1383"/>
      <c r="DZ678" s="1383"/>
      <c r="EA678" s="1383"/>
      <c r="EB678" s="1383"/>
      <c r="EC678" s="1383">
        <f>SUMIF(EC643:EG677,"&gt;0")</f>
        <v>1644.1666666666665</v>
      </c>
      <c r="ED678" s="1383"/>
      <c r="EE678" s="1383"/>
      <c r="EF678" s="1383"/>
      <c r="EG678" s="1383"/>
      <c r="EH678" s="1383">
        <f>SUMIF(EH643:EL677,"&gt;0")</f>
        <v>2001.8647058823528</v>
      </c>
      <c r="EI678" s="1383"/>
      <c r="EJ678" s="1383"/>
      <c r="EK678" s="1383"/>
      <c r="EL678" s="1383"/>
      <c r="EM678" s="1383">
        <f>SUMIF(EM643:EQ677,"&gt;0")</f>
        <v>2201.1913043478262</v>
      </c>
      <c r="EN678" s="1383"/>
      <c r="EO678" s="1383"/>
      <c r="EP678" s="1383"/>
      <c r="EQ678" s="1383"/>
      <c r="ER678" s="1383">
        <f>SUMIF(ER643:EV677,"&gt;0")</f>
        <v>0</v>
      </c>
      <c r="ES678" s="1383"/>
      <c r="ET678" s="1383"/>
      <c r="EU678" s="1383"/>
      <c r="EV678" s="1383"/>
      <c r="EW678" s="1383">
        <f>SUMIF(EW643:FA677,"&gt;0")</f>
        <v>0</v>
      </c>
      <c r="EX678" s="1383"/>
      <c r="EY678" s="1383"/>
      <c r="EZ678" s="1383"/>
      <c r="FA678" s="1383"/>
    </row>
    <row r="679" spans="1:157" ht="12.95" customHeight="1">
      <c r="A679" s="22"/>
      <c r="B679" t="s">
        <v>316</v>
      </c>
      <c r="G679" s="1390"/>
      <c r="H679" s="1390"/>
      <c r="I679" s="1390"/>
      <c r="J679" s="1390"/>
      <c r="K679" s="1390"/>
      <c r="L679" s="1390"/>
      <c r="O679" s="33" t="s">
        <v>206</v>
      </c>
      <c r="P679" s="1437"/>
      <c r="Q679" s="1437"/>
      <c r="R679" s="1437"/>
      <c r="T679" s="22"/>
      <c r="U679" t="s">
        <v>316</v>
      </c>
      <c r="Z679" s="1390"/>
      <c r="AA679" s="1390"/>
      <c r="AB679" s="1390"/>
      <c r="AC679" s="1390"/>
      <c r="AD679" s="1390"/>
      <c r="AE679" s="1390"/>
      <c r="AH679" s="33" t="s">
        <v>206</v>
      </c>
      <c r="AI679" s="1437"/>
      <c r="AJ679" s="1437"/>
      <c r="AK679" s="143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18"/>
      <c r="I680" s="1418"/>
      <c r="J680" s="1418"/>
      <c r="K680" s="1418"/>
      <c r="L680" s="1418"/>
      <c r="M680" s="1418"/>
      <c r="N680" s="1418"/>
      <c r="O680" s="1418"/>
      <c r="P680" s="1418"/>
      <c r="Q680" s="1418"/>
      <c r="R680" s="1418"/>
      <c r="T680" s="22"/>
      <c r="U680" t="s">
        <v>18</v>
      </c>
      <c r="AA680" s="1418"/>
      <c r="AB680" s="1418"/>
      <c r="AC680" s="1418"/>
      <c r="AD680" s="1418"/>
      <c r="AE680" s="1418"/>
      <c r="AF680" s="1418"/>
      <c r="AG680" s="1418"/>
      <c r="AH680" s="1418"/>
      <c r="AI680" s="1418"/>
      <c r="AJ680" s="1418"/>
      <c r="AK680" s="1418"/>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426" t="s">
        <v>669</v>
      </c>
      <c r="O681" s="1426"/>
      <c r="T681" s="22"/>
      <c r="U681" t="s">
        <v>20</v>
      </c>
      <c r="AG681" s="1426" t="s">
        <v>669</v>
      </c>
      <c r="AH681" s="1426"/>
      <c r="AZ681" s="3"/>
    </row>
    <row r="682" spans="1:157" ht="12.95" customHeight="1">
      <c r="A682" s="22"/>
      <c r="T682" s="22"/>
      <c r="AZ682" s="3"/>
    </row>
    <row r="683" spans="1:157" ht="12.95" customHeight="1">
      <c r="A683" s="55" t="s">
        <v>461</v>
      </c>
      <c r="B683" t="s">
        <v>463</v>
      </c>
      <c r="G683" s="1391">
        <f>C643</f>
        <v>0</v>
      </c>
      <c r="H683" s="1391"/>
      <c r="I683" s="1391"/>
      <c r="J683" s="1391"/>
      <c r="K683" s="1391"/>
      <c r="L683" s="1391"/>
      <c r="M683" s="1391"/>
      <c r="N683" s="1391"/>
      <c r="O683" s="1391"/>
      <c r="P683" s="1391"/>
      <c r="Q683" s="1391"/>
      <c r="R683" s="1391"/>
      <c r="T683" s="55" t="s">
        <v>646</v>
      </c>
      <c r="U683" t="s">
        <v>463</v>
      </c>
      <c r="Z683" s="1391">
        <f>C644</f>
        <v>0</v>
      </c>
      <c r="AA683" s="1391"/>
      <c r="AB683" s="1391"/>
      <c r="AC683" s="1391"/>
      <c r="AD683" s="1391"/>
      <c r="AE683" s="1391"/>
      <c r="AF683" s="1391"/>
      <c r="AG683" s="1391"/>
      <c r="AH683" s="1391"/>
      <c r="AI683" s="1391"/>
      <c r="AJ683" s="1391"/>
      <c r="AK683" s="1391"/>
      <c r="AZ683" s="3"/>
    </row>
    <row r="684" spans="1:157" ht="12.95" customHeight="1">
      <c r="A684" s="22"/>
      <c r="B684" t="s">
        <v>85</v>
      </c>
      <c r="G684" s="1418"/>
      <c r="H684" s="1418"/>
      <c r="I684" s="1418"/>
      <c r="J684" s="1418"/>
      <c r="K684" s="1418"/>
      <c r="L684" s="1418"/>
      <c r="M684" s="1418"/>
      <c r="N684" s="1418"/>
      <c r="O684" s="1418"/>
      <c r="P684" s="1418"/>
      <c r="Q684" s="1418"/>
      <c r="R684" s="1418"/>
      <c r="T684" s="22"/>
      <c r="U684" t="s">
        <v>85</v>
      </c>
      <c r="Z684" s="1418"/>
      <c r="AA684" s="1418"/>
      <c r="AB684" s="1418"/>
      <c r="AC684" s="1418"/>
      <c r="AD684" s="1418"/>
      <c r="AE684" s="1418"/>
      <c r="AF684" s="1418"/>
      <c r="AG684" s="1418"/>
      <c r="AH684" s="1418"/>
      <c r="AI684" s="1418"/>
      <c r="AJ684" s="1418"/>
      <c r="AK684" s="1418"/>
      <c r="AZ684" s="3"/>
    </row>
    <row r="685" spans="1:157" ht="12.95" customHeight="1">
      <c r="A685" s="22"/>
      <c r="B685" t="s">
        <v>580</v>
      </c>
      <c r="G685" s="1418"/>
      <c r="H685" s="1418"/>
      <c r="I685" s="1418"/>
      <c r="J685" s="1418"/>
      <c r="K685" s="1418"/>
      <c r="L685" s="1418"/>
      <c r="M685" s="1418"/>
      <c r="N685" s="1418"/>
      <c r="O685" s="1418"/>
      <c r="P685" s="1418"/>
      <c r="Q685" s="1418"/>
      <c r="R685" s="1418"/>
      <c r="T685" s="22"/>
      <c r="U685" t="s">
        <v>580</v>
      </c>
      <c r="Z685" s="1470"/>
      <c r="AA685" s="1470"/>
      <c r="AB685" s="1470"/>
      <c r="AC685" s="1470"/>
      <c r="AD685" s="1470"/>
      <c r="AE685" s="1470"/>
      <c r="AF685" s="1470"/>
      <c r="AG685" s="1470"/>
      <c r="AH685" s="1470"/>
      <c r="AI685" s="1470"/>
      <c r="AJ685" s="1470"/>
      <c r="AK685" s="1470"/>
      <c r="AZ685" s="3"/>
    </row>
    <row r="686" spans="1:157" ht="12.95" customHeight="1">
      <c r="A686" s="22"/>
      <c r="B686" t="s">
        <v>17</v>
      </c>
      <c r="G686" s="1418"/>
      <c r="H686" s="1418"/>
      <c r="I686" s="1418"/>
      <c r="J686" s="1418"/>
      <c r="K686" s="1418"/>
      <c r="L686" s="1418"/>
      <c r="M686" s="1418"/>
      <c r="N686" s="1418"/>
      <c r="O686" s="1418"/>
      <c r="P686" s="1418"/>
      <c r="Q686" s="1418"/>
      <c r="R686" s="1418"/>
      <c r="T686" s="22"/>
      <c r="U686" t="s">
        <v>17</v>
      </c>
      <c r="Z686" s="1470"/>
      <c r="AA686" s="1470"/>
      <c r="AB686" s="1470"/>
      <c r="AC686" s="1470"/>
      <c r="AD686" s="1470"/>
      <c r="AE686" s="1470"/>
      <c r="AF686" s="1470"/>
      <c r="AG686" s="1470"/>
      <c r="AH686" s="1470"/>
      <c r="AI686" s="1470"/>
      <c r="AJ686" s="1470"/>
      <c r="AK686" s="1470"/>
      <c r="AZ686" s="3"/>
    </row>
    <row r="687" spans="1:157" ht="12.95" customHeight="1">
      <c r="A687" s="22"/>
      <c r="B687" t="s">
        <v>316</v>
      </c>
      <c r="G687" s="1390"/>
      <c r="H687" s="1390"/>
      <c r="I687" s="1390"/>
      <c r="J687" s="1390"/>
      <c r="K687" s="1390"/>
      <c r="L687" s="1390"/>
      <c r="O687" s="33" t="s">
        <v>206</v>
      </c>
      <c r="P687" s="1437"/>
      <c r="Q687" s="1437"/>
      <c r="R687" s="1437"/>
      <c r="T687" s="22"/>
      <c r="U687" t="s">
        <v>316</v>
      </c>
      <c r="Z687" s="1390"/>
      <c r="AA687" s="1390"/>
      <c r="AB687" s="1390"/>
      <c r="AC687" s="1390"/>
      <c r="AD687" s="1390"/>
      <c r="AE687" s="1390"/>
      <c r="AH687" s="33" t="s">
        <v>206</v>
      </c>
      <c r="AI687" s="1437"/>
      <c r="AJ687" s="1437"/>
      <c r="AK687" s="1437"/>
      <c r="AZ687" s="3"/>
    </row>
    <row r="688" spans="1:157" ht="12.95" customHeight="1">
      <c r="A688" s="22"/>
      <c r="B688" t="s">
        <v>18</v>
      </c>
      <c r="H688" s="1418"/>
      <c r="I688" s="1418"/>
      <c r="J688" s="1418"/>
      <c r="K688" s="1418"/>
      <c r="L688" s="1418"/>
      <c r="M688" s="1418"/>
      <c r="N688" s="1418"/>
      <c r="O688" s="1418"/>
      <c r="P688" s="1418"/>
      <c r="Q688" s="1418"/>
      <c r="R688" s="1418"/>
      <c r="T688" s="22"/>
      <c r="U688" t="s">
        <v>18</v>
      </c>
      <c r="AA688" s="1418"/>
      <c r="AB688" s="1418"/>
      <c r="AC688" s="1418"/>
      <c r="AD688" s="1418"/>
      <c r="AE688" s="1418"/>
      <c r="AF688" s="1418"/>
      <c r="AG688" s="1418"/>
      <c r="AH688" s="1418"/>
      <c r="AI688" s="1418"/>
      <c r="AJ688" s="1418"/>
      <c r="AK688" s="1418"/>
      <c r="AZ688" s="3"/>
    </row>
    <row r="689" spans="1:52" ht="12.95" customHeight="1">
      <c r="A689" s="22"/>
      <c r="B689" t="s">
        <v>20</v>
      </c>
      <c r="N689" s="1426" t="s">
        <v>669</v>
      </c>
      <c r="O689" s="1426"/>
      <c r="T689" s="22"/>
      <c r="U689" t="s">
        <v>20</v>
      </c>
      <c r="AG689" s="1426" t="s">
        <v>669</v>
      </c>
      <c r="AH689" s="1426"/>
      <c r="AZ689" s="3"/>
    </row>
    <row r="690" spans="1:52" ht="12.95" customHeight="1">
      <c r="A690" s="22"/>
      <c r="T690" s="22"/>
      <c r="AZ690" s="3"/>
    </row>
    <row r="691" spans="1:52" ht="12.95" customHeight="1">
      <c r="A691" s="55" t="s">
        <v>362</v>
      </c>
      <c r="B691" t="s">
        <v>463</v>
      </c>
      <c r="G691" s="1391">
        <f>C645</f>
        <v>0</v>
      </c>
      <c r="H691" s="1391"/>
      <c r="I691" s="1391"/>
      <c r="J691" s="1391"/>
      <c r="K691" s="1391"/>
      <c r="L691" s="1391"/>
      <c r="M691" s="1391"/>
      <c r="N691" s="1391"/>
      <c r="O691" s="1391"/>
      <c r="P691" s="1391"/>
      <c r="Q691" s="1391"/>
      <c r="R691" s="1391"/>
      <c r="T691" s="55" t="s">
        <v>363</v>
      </c>
      <c r="U691" t="s">
        <v>463</v>
      </c>
      <c r="Z691" s="1391">
        <f>C646</f>
        <v>0</v>
      </c>
      <c r="AA691" s="1391"/>
      <c r="AB691" s="1391"/>
      <c r="AC691" s="1391"/>
      <c r="AD691" s="1391"/>
      <c r="AE691" s="1391"/>
      <c r="AF691" s="1391"/>
      <c r="AG691" s="1391"/>
      <c r="AH691" s="1391"/>
      <c r="AI691" s="1391"/>
      <c r="AJ691" s="1391"/>
      <c r="AK691" s="1391"/>
      <c r="AZ691" s="3"/>
    </row>
    <row r="692" spans="1:52" ht="12.95" customHeight="1">
      <c r="B692" t="s">
        <v>85</v>
      </c>
      <c r="G692" s="1418"/>
      <c r="H692" s="1418"/>
      <c r="I692" s="1418"/>
      <c r="J692" s="1418"/>
      <c r="K692" s="1418"/>
      <c r="L692" s="1418"/>
      <c r="M692" s="1418"/>
      <c r="N692" s="1418"/>
      <c r="O692" s="1418"/>
      <c r="P692" s="1418"/>
      <c r="Q692" s="1418"/>
      <c r="R692" s="1418"/>
      <c r="T692" s="22"/>
      <c r="U692" t="s">
        <v>85</v>
      </c>
      <c r="Z692" s="1418"/>
      <c r="AA692" s="1418"/>
      <c r="AB692" s="1418"/>
      <c r="AC692" s="1418"/>
      <c r="AD692" s="1418"/>
      <c r="AE692" s="1418"/>
      <c r="AF692" s="1418"/>
      <c r="AG692" s="1418"/>
      <c r="AH692" s="1418"/>
      <c r="AI692" s="1418"/>
      <c r="AJ692" s="1418"/>
      <c r="AK692" s="1418"/>
      <c r="AZ692" s="3"/>
    </row>
    <row r="693" spans="1:52" ht="12.95" customHeight="1">
      <c r="B693" t="s">
        <v>580</v>
      </c>
      <c r="G693" s="1418"/>
      <c r="H693" s="1418"/>
      <c r="I693" s="1418"/>
      <c r="J693" s="1418"/>
      <c r="K693" s="1418"/>
      <c r="L693" s="1418"/>
      <c r="M693" s="1418"/>
      <c r="N693" s="1418"/>
      <c r="O693" s="1418"/>
      <c r="P693" s="1418"/>
      <c r="Q693" s="1418"/>
      <c r="R693" s="1418"/>
      <c r="U693" t="s">
        <v>580</v>
      </c>
      <c r="Z693" s="1470"/>
      <c r="AA693" s="1470"/>
      <c r="AB693" s="1470"/>
      <c r="AC693" s="1470"/>
      <c r="AD693" s="1470"/>
      <c r="AE693" s="1470"/>
      <c r="AF693" s="1470"/>
      <c r="AG693" s="1470"/>
      <c r="AH693" s="1470"/>
      <c r="AI693" s="1470"/>
      <c r="AJ693" s="1470"/>
      <c r="AK693" s="1470"/>
      <c r="AZ693" s="3"/>
    </row>
    <row r="694" spans="1:52" ht="12.95" customHeight="1">
      <c r="B694" t="s">
        <v>17</v>
      </c>
      <c r="G694" s="1418"/>
      <c r="H694" s="1418"/>
      <c r="I694" s="1418"/>
      <c r="J694" s="1418"/>
      <c r="K694" s="1418"/>
      <c r="L694" s="1418"/>
      <c r="M694" s="1418"/>
      <c r="N694" s="1418"/>
      <c r="O694" s="1418"/>
      <c r="P694" s="1418"/>
      <c r="Q694" s="1418"/>
      <c r="R694" s="1418"/>
      <c r="U694" t="s">
        <v>17</v>
      </c>
      <c r="Z694" s="1470"/>
      <c r="AA694" s="1470"/>
      <c r="AB694" s="1470"/>
      <c r="AC694" s="1470"/>
      <c r="AD694" s="1470"/>
      <c r="AE694" s="1470"/>
      <c r="AF694" s="1470"/>
      <c r="AG694" s="1470"/>
      <c r="AH694" s="1470"/>
      <c r="AI694" s="1470"/>
      <c r="AJ694" s="1470"/>
      <c r="AK694" s="1470"/>
      <c r="AZ694" s="3"/>
    </row>
    <row r="695" spans="1:52" ht="12.95" customHeight="1">
      <c r="B695" t="s">
        <v>316</v>
      </c>
      <c r="G695" s="1390"/>
      <c r="H695" s="1390"/>
      <c r="I695" s="1390"/>
      <c r="J695" s="1390"/>
      <c r="K695" s="1390"/>
      <c r="L695" s="1390"/>
      <c r="O695" s="33" t="s">
        <v>206</v>
      </c>
      <c r="P695" s="1437"/>
      <c r="Q695" s="1437"/>
      <c r="R695" s="1437"/>
      <c r="U695" t="s">
        <v>316</v>
      </c>
      <c r="Z695" s="1390"/>
      <c r="AA695" s="1390"/>
      <c r="AB695" s="1390"/>
      <c r="AC695" s="1390"/>
      <c r="AD695" s="1390"/>
      <c r="AE695" s="1390"/>
      <c r="AH695" s="33" t="s">
        <v>206</v>
      </c>
      <c r="AI695" s="1437"/>
      <c r="AJ695" s="1437"/>
      <c r="AK695" s="1437"/>
      <c r="AZ695" s="3"/>
    </row>
    <row r="696" spans="1:52" ht="12.95" customHeight="1">
      <c r="B696" t="s">
        <v>18</v>
      </c>
      <c r="H696" s="1418"/>
      <c r="I696" s="1418"/>
      <c r="J696" s="1418"/>
      <c r="K696" s="1418"/>
      <c r="L696" s="1418"/>
      <c r="M696" s="1418"/>
      <c r="N696" s="1418"/>
      <c r="O696" s="1418"/>
      <c r="P696" s="1418"/>
      <c r="Q696" s="1418"/>
      <c r="R696" s="1418"/>
      <c r="U696" t="s">
        <v>18</v>
      </c>
      <c r="AA696" s="1418"/>
      <c r="AB696" s="1418"/>
      <c r="AC696" s="1418"/>
      <c r="AD696" s="1418"/>
      <c r="AE696" s="1418"/>
      <c r="AF696" s="1418"/>
      <c r="AG696" s="1418"/>
      <c r="AH696" s="1418"/>
      <c r="AI696" s="1418"/>
      <c r="AJ696" s="1418"/>
      <c r="AK696" s="1418"/>
      <c r="AZ696" s="3"/>
    </row>
    <row r="697" spans="1:52" ht="12.95" customHeight="1">
      <c r="B697" t="s">
        <v>20</v>
      </c>
      <c r="N697" s="1426" t="s">
        <v>669</v>
      </c>
      <c r="O697" s="1426"/>
      <c r="U697" t="s">
        <v>20</v>
      </c>
      <c r="AG697" s="1426" t="s">
        <v>669</v>
      </c>
      <c r="AH697" s="1426"/>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2612</v>
      </c>
      <c r="E700" s="135"/>
      <c r="F700" s="135"/>
      <c r="G700" s="135"/>
      <c r="H700" s="135"/>
      <c r="AZ700" s="3"/>
    </row>
    <row r="701" spans="1:52" ht="12.95" customHeight="1">
      <c r="B701" s="135"/>
      <c r="C701" s="135"/>
      <c r="E701" s="136" t="s">
        <v>434</v>
      </c>
      <c r="F701" s="135"/>
      <c r="G701" s="135"/>
      <c r="H701" s="135"/>
      <c r="AE701" s="1426" t="s">
        <v>545</v>
      </c>
      <c r="AF701" s="1426"/>
      <c r="AZ701" s="3"/>
    </row>
    <row r="702" spans="1:52" ht="12.95" customHeight="1">
      <c r="B702" s="135"/>
      <c r="C702" s="135"/>
      <c r="D702" s="136" t="s">
        <v>437</v>
      </c>
      <c r="E702" s="135"/>
      <c r="F702" s="135"/>
      <c r="G702" s="135"/>
      <c r="H702" s="135"/>
      <c r="AE702" s="1426" t="s">
        <v>545</v>
      </c>
      <c r="AF702" s="1426"/>
      <c r="AZ702" s="3"/>
    </row>
    <row r="703" spans="1:52" ht="12.95" customHeight="1">
      <c r="B703" s="135"/>
      <c r="C703" s="135"/>
      <c r="D703" s="136" t="s">
        <v>920</v>
      </c>
      <c r="E703" s="135"/>
      <c r="F703" s="135"/>
      <c r="G703" s="135"/>
      <c r="H703" s="135"/>
      <c r="AE703" s="1533">
        <v>46056</v>
      </c>
      <c r="AF703" s="1533"/>
      <c r="AG703" s="1533"/>
      <c r="AH703" s="1533"/>
      <c r="AI703" s="1533"/>
    </row>
    <row r="704" spans="1:52" ht="12.95" customHeight="1">
      <c r="B704" s="135"/>
      <c r="C704" s="135"/>
      <c r="D704" s="317" t="s">
        <v>982</v>
      </c>
      <c r="E704" s="135"/>
      <c r="F704" s="135"/>
      <c r="G704" s="135"/>
      <c r="H704" s="135"/>
      <c r="AE704" s="1656">
        <v>46154</v>
      </c>
      <c r="AF704" s="1656"/>
      <c r="AG704" s="1656"/>
      <c r="AH704" s="1656"/>
      <c r="AI704" s="1656"/>
    </row>
    <row r="705" spans="1:110" ht="12.95" customHeight="1">
      <c r="B705" s="135"/>
      <c r="C705" s="135"/>
    </row>
    <row r="706" spans="1:110" ht="12.95" customHeight="1">
      <c r="B706" s="135"/>
      <c r="C706" s="135"/>
      <c r="D706" s="136" t="s">
        <v>816</v>
      </c>
      <c r="E706" s="135"/>
      <c r="F706" s="135"/>
      <c r="G706" s="135"/>
      <c r="H706" s="135"/>
      <c r="AE706" s="1533">
        <f>AE704+180</f>
        <v>46334</v>
      </c>
      <c r="AF706" s="1533"/>
      <c r="AG706" s="1533"/>
      <c r="AH706" s="1533"/>
      <c r="AI706" s="1533"/>
    </row>
    <row r="707" spans="1:110" ht="12.95" customHeight="1">
      <c r="B707" s="135"/>
      <c r="C707" s="135"/>
      <c r="D707" s="136" t="s">
        <v>435</v>
      </c>
      <c r="E707" s="135"/>
      <c r="F707" s="135"/>
      <c r="G707" s="135"/>
      <c r="H707" s="135"/>
      <c r="AE707" s="1849">
        <f>AM562/SUM('Sources and Uses Budget'!S107,'Sources and Uses Budget'!R13,1000000)</f>
        <v>0.2750000014003634</v>
      </c>
      <c r="AF707" s="1849"/>
      <c r="AG707" s="1849"/>
      <c r="AH707" s="1849"/>
      <c r="AI707" s="1849"/>
    </row>
    <row r="708" spans="1:110" ht="12.95" customHeight="1">
      <c r="B708" s="135"/>
      <c r="C708" s="135"/>
      <c r="D708" s="136" t="s">
        <v>436</v>
      </c>
      <c r="E708" s="135"/>
      <c r="F708" s="135"/>
      <c r="G708" s="135"/>
      <c r="H708" s="135"/>
      <c r="W708" s="1391" t="str">
        <f>H344</f>
        <v>California Municipal Finance Authority</v>
      </c>
      <c r="X708" s="1391"/>
      <c r="Y708" s="1391"/>
      <c r="Z708" s="1391"/>
      <c r="AA708" s="1391"/>
      <c r="AB708" s="1391"/>
      <c r="AC708" s="1391"/>
      <c r="AD708" s="1391"/>
      <c r="AE708" s="1391"/>
      <c r="AF708" s="1391"/>
      <c r="AG708" s="1391"/>
      <c r="AH708" s="1391"/>
      <c r="AI708" s="1391"/>
      <c r="AJ708" s="1391"/>
      <c r="AK708" s="1391"/>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426" t="s">
        <v>669</v>
      </c>
      <c r="AF710" s="1426"/>
    </row>
    <row r="711" spans="1:110" ht="12.95" customHeight="1">
      <c r="B711" s="135"/>
      <c r="C711" s="135"/>
      <c r="D711" s="136" t="s">
        <v>442</v>
      </c>
      <c r="E711" s="135"/>
      <c r="F711" s="135"/>
      <c r="G711" s="135"/>
      <c r="H711" s="135"/>
      <c r="W711" s="1418" t="s">
        <v>591</v>
      </c>
      <c r="X711" s="1418"/>
      <c r="Y711" s="1418"/>
      <c r="Z711" s="1418"/>
      <c r="AA711" s="1418"/>
      <c r="AB711" s="1418"/>
      <c r="AC711" s="1418"/>
      <c r="AD711" s="1418"/>
      <c r="AE711" s="1418"/>
      <c r="AF711" s="1418"/>
      <c r="AG711" s="1418"/>
      <c r="AH711" s="1418"/>
      <c r="AI711" s="1418"/>
      <c r="AJ711" s="1418"/>
      <c r="AK711" s="1418"/>
    </row>
    <row r="712" spans="1:110" ht="12.95" customHeight="1">
      <c r="B712" s="135"/>
      <c r="C712" s="135"/>
      <c r="D712" s="136" t="s">
        <v>87</v>
      </c>
      <c r="E712" s="135"/>
      <c r="F712" s="135"/>
      <c r="G712" s="135"/>
      <c r="H712" s="135"/>
      <c r="J712" s="1418"/>
      <c r="K712" s="1418"/>
      <c r="L712" s="1418"/>
      <c r="M712" s="1418"/>
      <c r="N712" s="1418"/>
      <c r="O712" s="1418"/>
      <c r="P712" s="1418"/>
      <c r="Q712" s="1418"/>
      <c r="R712" s="1418"/>
      <c r="S712" s="1418"/>
      <c r="T712" s="1418"/>
      <c r="U712" s="1418"/>
      <c r="V712" s="1418"/>
      <c r="W712" s="1418"/>
      <c r="X712" s="1418"/>
      <c r="BB712" s="34"/>
      <c r="BC712" s="34"/>
      <c r="BD712" s="34"/>
      <c r="BE712" s="3"/>
      <c r="BF712" s="3"/>
      <c r="BJ712" s="3"/>
      <c r="BK712" s="3"/>
      <c r="BL712" s="3"/>
      <c r="BM712" s="3"/>
      <c r="BN712" s="34"/>
      <c r="BO712" s="34"/>
    </row>
    <row r="713" spans="1:110" ht="12.95" customHeight="1">
      <c r="B713" s="135"/>
      <c r="C713" s="135"/>
      <c r="D713" s="136" t="s">
        <v>88</v>
      </c>
      <c r="J713" s="1390"/>
      <c r="K713" s="1390"/>
      <c r="L713" s="1390"/>
      <c r="M713" s="1390"/>
      <c r="N713" s="1390"/>
      <c r="O713" s="1390"/>
      <c r="P713" s="4" t="s">
        <v>206</v>
      </c>
      <c r="Q713" s="4"/>
      <c r="R713" s="1437"/>
      <c r="S713" s="1437"/>
      <c r="T713" s="143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18" t="s">
        <v>307</v>
      </c>
      <c r="X714" s="1418"/>
      <c r="Y714" s="1418"/>
      <c r="Z714" s="1418"/>
      <c r="AA714" s="1418"/>
      <c r="AB714" s="1418"/>
      <c r="AC714" s="1418"/>
      <c r="AD714" s="1418"/>
      <c r="AE714" s="1418"/>
      <c r="AF714" s="1418"/>
      <c r="AG714" s="1418"/>
      <c r="AH714" s="1418"/>
      <c r="AI714" s="1418"/>
      <c r="AJ714" s="1418"/>
      <c r="AK714" s="1418"/>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18" t="s">
        <v>334</v>
      </c>
      <c r="F715" s="1418"/>
      <c r="G715" s="1418"/>
      <c r="H715" s="1418"/>
      <c r="I715" s="1418"/>
      <c r="J715" s="1418"/>
      <c r="K715" s="1418"/>
      <c r="L715" s="1418"/>
      <c r="M715" s="1418"/>
      <c r="N715" s="1418"/>
      <c r="O715" s="1418"/>
      <c r="P715" s="1418"/>
      <c r="Q715" s="1418"/>
      <c r="R715" s="1418"/>
      <c r="S715" s="1418"/>
      <c r="T715" s="1418"/>
      <c r="U715" s="1418"/>
      <c r="V715" s="1418"/>
      <c r="W715" s="1418"/>
      <c r="X715" s="1418"/>
      <c r="Y715" s="1418"/>
      <c r="Z715" s="1418"/>
      <c r="AA715" s="1418"/>
      <c r="AB715" s="1418"/>
      <c r="AC715" s="1418"/>
      <c r="AD715" s="1418"/>
      <c r="AE715" s="1418"/>
      <c r="AF715" s="1418"/>
      <c r="AG715" s="1418"/>
      <c r="AH715" s="1418"/>
      <c r="AI715" s="1418"/>
      <c r="AJ715" s="1418"/>
      <c r="AK715" s="1418"/>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06" t="s">
        <v>389</v>
      </c>
      <c r="C722" s="1592"/>
      <c r="D722" s="1592"/>
      <c r="E722" s="1592"/>
      <c r="F722" s="1593"/>
      <c r="G722" s="1606" t="s">
        <v>285</v>
      </c>
      <c r="H722" s="1592"/>
      <c r="I722" s="1592"/>
      <c r="J722" s="1593"/>
      <c r="K722" s="1584" t="s">
        <v>1667</v>
      </c>
      <c r="L722" s="1585"/>
      <c r="M722" s="1585"/>
      <c r="N722" s="1586"/>
      <c r="O722" s="1606" t="s">
        <v>447</v>
      </c>
      <c r="P722" s="1592"/>
      <c r="Q722" s="1592"/>
      <c r="R722" s="1592"/>
      <c r="S722" s="1593"/>
      <c r="T722" s="1591" t="s">
        <v>1922</v>
      </c>
      <c r="U722" s="1592"/>
      <c r="V722" s="1592"/>
      <c r="W722" s="1593"/>
      <c r="X722" s="1591" t="s">
        <v>1924</v>
      </c>
      <c r="Y722" s="1592"/>
      <c r="Z722" s="1592"/>
      <c r="AA722" s="1592"/>
      <c r="AB722" s="1593"/>
      <c r="AC722" s="1591" t="s">
        <v>1923</v>
      </c>
      <c r="AD722" s="1592"/>
      <c r="AE722" s="1592"/>
      <c r="AF722" s="1592"/>
      <c r="AG722" s="1593"/>
      <c r="AH722" s="1591" t="s">
        <v>1925</v>
      </c>
      <c r="AI722" s="1592"/>
      <c r="AJ722" s="1593"/>
      <c r="AK722" s="1591" t="s">
        <v>1952</v>
      </c>
      <c r="AL722" s="1592"/>
      <c r="AM722" s="1592"/>
      <c r="AN722" s="1592"/>
      <c r="AO722" s="1593"/>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594"/>
      <c r="C723" s="1595"/>
      <c r="D723" s="1595"/>
      <c r="E723" s="1595"/>
      <c r="F723" s="1596"/>
      <c r="G723" s="1594"/>
      <c r="H723" s="1595"/>
      <c r="I723" s="1595"/>
      <c r="J723" s="1596"/>
      <c r="K723" s="1587"/>
      <c r="L723" s="1588"/>
      <c r="M723" s="1588"/>
      <c r="N723" s="1589"/>
      <c r="O723" s="1594"/>
      <c r="P723" s="1595"/>
      <c r="Q723" s="1595"/>
      <c r="R723" s="1595"/>
      <c r="S723" s="1596"/>
      <c r="T723" s="1594"/>
      <c r="U723" s="1595"/>
      <c r="V723" s="1595"/>
      <c r="W723" s="1596"/>
      <c r="X723" s="1594"/>
      <c r="Y723" s="1595"/>
      <c r="Z723" s="1595"/>
      <c r="AA723" s="1595"/>
      <c r="AB723" s="1596"/>
      <c r="AC723" s="1594"/>
      <c r="AD723" s="1595"/>
      <c r="AE723" s="1595"/>
      <c r="AF723" s="1595"/>
      <c r="AG723" s="1596"/>
      <c r="AH723" s="1594"/>
      <c r="AI723" s="1595"/>
      <c r="AJ723" s="1596"/>
      <c r="AK723" s="1594"/>
      <c r="AL723" s="1595"/>
      <c r="AM723" s="1595"/>
      <c r="AN723" s="1595"/>
      <c r="AO723" s="159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594"/>
      <c r="C724" s="1595"/>
      <c r="D724" s="1595"/>
      <c r="E724" s="1595"/>
      <c r="F724" s="1596"/>
      <c r="G724" s="1594"/>
      <c r="H724" s="1595"/>
      <c r="I724" s="1595"/>
      <c r="J724" s="1596"/>
      <c r="K724" s="1587"/>
      <c r="L724" s="1588"/>
      <c r="M724" s="1588"/>
      <c r="N724" s="1589"/>
      <c r="O724" s="1594"/>
      <c r="P724" s="1595"/>
      <c r="Q724" s="1595"/>
      <c r="R724" s="1595"/>
      <c r="S724" s="1596"/>
      <c r="T724" s="1594"/>
      <c r="U724" s="1595"/>
      <c r="V724" s="1595"/>
      <c r="W724" s="1596"/>
      <c r="X724" s="1594"/>
      <c r="Y724" s="1595"/>
      <c r="Z724" s="1595"/>
      <c r="AA724" s="1595"/>
      <c r="AB724" s="1596"/>
      <c r="AC724" s="1594"/>
      <c r="AD724" s="1595"/>
      <c r="AE724" s="1595"/>
      <c r="AF724" s="1595"/>
      <c r="AG724" s="1596"/>
      <c r="AH724" s="1594"/>
      <c r="AI724" s="1595"/>
      <c r="AJ724" s="1596"/>
      <c r="AK724" s="1594"/>
      <c r="AL724" s="1595"/>
      <c r="AM724" s="1595"/>
      <c r="AN724" s="1595"/>
      <c r="AO724" s="1596"/>
      <c r="AP724" s="3"/>
      <c r="AQ724" s="3"/>
      <c r="AR724" s="3"/>
      <c r="AS724" s="3"/>
      <c r="BA724" s="3"/>
      <c r="BB724" s="3"/>
      <c r="BC724" s="3"/>
      <c r="BD724" s="3"/>
      <c r="BE724" s="204"/>
      <c r="BF724" s="205" t="s">
        <v>895</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597"/>
      <c r="C725" s="1598"/>
      <c r="D725" s="1598"/>
      <c r="E725" s="1598"/>
      <c r="F725" s="1599"/>
      <c r="G725" s="1597"/>
      <c r="H725" s="1598"/>
      <c r="I725" s="1598"/>
      <c r="J725" s="1599"/>
      <c r="K725" s="1587"/>
      <c r="L725" s="1588"/>
      <c r="M725" s="1588"/>
      <c r="N725" s="1589"/>
      <c r="O725" s="1597"/>
      <c r="P725" s="1598"/>
      <c r="Q725" s="1598"/>
      <c r="R725" s="1598"/>
      <c r="S725" s="1599"/>
      <c r="T725" s="1597"/>
      <c r="U725" s="1598"/>
      <c r="V725" s="1598"/>
      <c r="W725" s="1599"/>
      <c r="X725" s="1597"/>
      <c r="Y725" s="1598"/>
      <c r="Z725" s="1598"/>
      <c r="AA725" s="1598"/>
      <c r="AB725" s="1599"/>
      <c r="AC725" s="1597"/>
      <c r="AD725" s="1598"/>
      <c r="AE725" s="1598"/>
      <c r="AF725" s="1598"/>
      <c r="AG725" s="1599"/>
      <c r="AH725" s="1597"/>
      <c r="AI725" s="1598"/>
      <c r="AJ725" s="1599"/>
      <c r="AK725" s="1597"/>
      <c r="AL725" s="1598"/>
      <c r="AM725" s="1598"/>
      <c r="AN725" s="1598"/>
      <c r="AO725" s="1599"/>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2"/>
      <c r="CJ725" s="1344"/>
      <c r="CK725" s="121" t="s">
        <v>475</v>
      </c>
      <c r="CL725" s="122"/>
      <c r="CM725" s="1342"/>
      <c r="CN725" s="1344"/>
      <c r="CO725" s="3"/>
      <c r="CP725" s="1674" t="s">
        <v>633</v>
      </c>
      <c r="CQ725" s="1675"/>
      <c r="CR725" s="1675"/>
      <c r="CS725" s="1675"/>
      <c r="CT725" s="1676"/>
      <c r="CU725" s="1392" t="s">
        <v>325</v>
      </c>
      <c r="CV725" s="1392"/>
      <c r="CW725" s="1392"/>
      <c r="CX725" s="1392"/>
      <c r="CY725" s="1392"/>
      <c r="CZ725" s="1392" t="s">
        <v>163</v>
      </c>
      <c r="DA725" s="1392"/>
      <c r="DB725" s="1392"/>
      <c r="DC725" s="1392"/>
      <c r="DD725" s="1392"/>
      <c r="DE725" s="1392" t="s">
        <v>164</v>
      </c>
      <c r="DF725" s="1392"/>
      <c r="DG725" s="1392"/>
      <c r="DH725" s="1392"/>
      <c r="DI725" s="1392"/>
      <c r="DJ725" s="1392" t="s">
        <v>460</v>
      </c>
      <c r="DK725" s="1392"/>
      <c r="DL725" s="1392"/>
      <c r="DM725" s="1392"/>
      <c r="DN725" s="1392"/>
      <c r="DO725" s="1392" t="s">
        <v>30</v>
      </c>
      <c r="DP725" s="1392"/>
      <c r="DQ725" s="1392"/>
      <c r="DR725" s="1392"/>
      <c r="DS725" s="1392"/>
      <c r="DT725" s="89"/>
      <c r="DU725" s="1392" t="s">
        <v>633</v>
      </c>
      <c r="DV725" s="1392"/>
      <c r="DW725" s="1392"/>
      <c r="DX725" s="1392"/>
      <c r="DY725" s="1392"/>
      <c r="DZ725" s="1392" t="s">
        <v>325</v>
      </c>
      <c r="EA725" s="1392"/>
      <c r="EB725" s="1392"/>
      <c r="EC725" s="1392"/>
      <c r="ED725" s="1392"/>
      <c r="EE725" s="1392" t="s">
        <v>163</v>
      </c>
      <c r="EF725" s="1392"/>
      <c r="EG725" s="1392"/>
      <c r="EH725" s="1392"/>
      <c r="EI725" s="1392"/>
      <c r="EJ725" s="1392" t="s">
        <v>164</v>
      </c>
      <c r="EK725" s="1392"/>
      <c r="EL725" s="1392"/>
      <c r="EM725" s="1392"/>
      <c r="EN725" s="1392"/>
      <c r="EO725" s="1392" t="s">
        <v>460</v>
      </c>
      <c r="EP725" s="1392"/>
      <c r="EQ725" s="1392"/>
      <c r="ER725" s="1392"/>
      <c r="ES725" s="1392"/>
      <c r="ET725" s="1392" t="s">
        <v>30</v>
      </c>
      <c r="EU725" s="1392"/>
      <c r="EV725" s="1392"/>
      <c r="EW725" s="1392"/>
      <c r="EX725" s="1392"/>
      <c r="EY725" s="4"/>
      <c r="EZ725" s="1392" t="s">
        <v>633</v>
      </c>
      <c r="FA725" s="1392"/>
      <c r="FB725" s="1392"/>
      <c r="FC725" s="1392"/>
      <c r="FD725" s="1392"/>
      <c r="FE725" s="1392" t="s">
        <v>325</v>
      </c>
      <c r="FF725" s="1392"/>
      <c r="FG725" s="1392"/>
      <c r="FH725" s="1392"/>
      <c r="FI725" s="1392"/>
      <c r="FJ725" s="1392" t="s">
        <v>163</v>
      </c>
      <c r="FK725" s="1392"/>
      <c r="FL725" s="1392"/>
      <c r="FM725" s="1392"/>
      <c r="FN725" s="1392"/>
      <c r="FO725" s="1392" t="s">
        <v>164</v>
      </c>
      <c r="FP725" s="1392"/>
      <c r="FQ725" s="1392"/>
      <c r="FR725" s="1392"/>
      <c r="FS725" s="1392"/>
      <c r="FT725" s="1392" t="s">
        <v>460</v>
      </c>
      <c r="FU725" s="1392"/>
      <c r="FV725" s="1392"/>
      <c r="FW725" s="1392"/>
      <c r="FX725" s="1392"/>
      <c r="FY725" s="1392" t="s">
        <v>30</v>
      </c>
      <c r="FZ725" s="1392"/>
      <c r="GA725" s="1392"/>
      <c r="GB725" s="1392"/>
      <c r="GC725" s="1392"/>
    </row>
    <row r="726" spans="1:185" ht="12.95" customHeight="1">
      <c r="A726" s="4"/>
      <c r="B726" s="1362" t="s">
        <v>325</v>
      </c>
      <c r="C726" s="1363"/>
      <c r="D726" s="1363"/>
      <c r="E726" s="1363"/>
      <c r="F726" s="1364"/>
      <c r="G726" s="1371">
        <v>17</v>
      </c>
      <c r="H726" s="1372"/>
      <c r="I726" s="1372"/>
      <c r="J726" s="1373"/>
      <c r="K726" s="1489">
        <v>501</v>
      </c>
      <c r="L726" s="1490"/>
      <c r="M726" s="1490"/>
      <c r="N726" s="1491"/>
      <c r="O726" s="1378">
        <f>852-T726</f>
        <v>804</v>
      </c>
      <c r="P726" s="1379"/>
      <c r="Q726" s="1379"/>
      <c r="R726" s="1379"/>
      <c r="S726" s="1380"/>
      <c r="T726" s="1378">
        <f>Q840</f>
        <v>48</v>
      </c>
      <c r="U726" s="1379"/>
      <c r="V726" s="1379"/>
      <c r="W726" s="1380"/>
      <c r="X726" s="1365">
        <f t="shared" ref="X726:X749" si="10">O726+T726</f>
        <v>852</v>
      </c>
      <c r="Y726" s="1366"/>
      <c r="Z726" s="1366"/>
      <c r="AA726" s="1366"/>
      <c r="AB726" s="1367"/>
      <c r="AC726" s="1375">
        <v>0.3</v>
      </c>
      <c r="AD726" s="1376"/>
      <c r="AE726" s="1376"/>
      <c r="AF726" s="1376"/>
      <c r="AG726" s="1377"/>
      <c r="AH726" s="1368">
        <f>IF($AC726&gt;0,($X726/$AZ726), "")</f>
        <v>0.3</v>
      </c>
      <c r="AI726" s="1369"/>
      <c r="AJ726" s="1370"/>
      <c r="AK726" s="1362" t="s">
        <v>591</v>
      </c>
      <c r="AL726" s="1363"/>
      <c r="AM726" s="1363"/>
      <c r="AN726" s="1363"/>
      <c r="AO726" s="1364"/>
      <c r="AP726" s="3"/>
      <c r="AQ726" s="3"/>
      <c r="AR726" s="3"/>
      <c r="AS726" s="3"/>
      <c r="AZ726" s="118">
        <f t="shared" ref="AZ726:AZ760" si="11">IF($G726=0,"N/A",VLOOKUP($T$189,TC_Rent,(MATCH($B726,bedrooms,FALSE)),FALSE))</f>
        <v>2840</v>
      </c>
      <c r="BA726" s="3"/>
      <c r="BB726" s="3"/>
      <c r="BC726" s="3"/>
      <c r="BD726" s="3"/>
      <c r="BE726" s="204"/>
      <c r="BF726" s="293">
        <f t="shared" ref="BF726:BF760" si="12">G726</f>
        <v>17</v>
      </c>
      <c r="BG726" s="297">
        <f t="shared" ref="BG726:BG760" si="13">IF($BF$761=0,0,BF726/$BF$761)</f>
        <v>0.11643835616438356</v>
      </c>
      <c r="BH726" s="298">
        <f t="shared" ref="BH726:BH760" si="14">IF(BG726=0,"",BG726*AC726)</f>
        <v>3.4931506849315064E-2</v>
      </c>
      <c r="BI726" s="3"/>
      <c r="BJ726" s="3"/>
      <c r="BK726" s="3"/>
      <c r="BL726" s="3"/>
      <c r="BM726" s="3"/>
      <c r="BN726" s="3"/>
      <c r="BS726" s="293">
        <f t="shared" ref="BS726:BS760" si="15">G726</f>
        <v>17</v>
      </c>
      <c r="BT726" s="297">
        <f t="shared" ref="BT726:BT760" si="16">IF($BS$761=0,0,BS726/$BS$761)</f>
        <v>0.11643835616438356</v>
      </c>
      <c r="BU726" s="298">
        <f t="shared" ref="BU726:BU760" si="17">IF(BT726=0,"",BT726*AH726)</f>
        <v>3.4931506849315064E-2</v>
      </c>
      <c r="CC726" s="3"/>
      <c r="CD726" s="3"/>
      <c r="CE726" s="3"/>
      <c r="CF726" s="3"/>
      <c r="CG726" s="1358">
        <f>IF(AND(AC726&lt;=0.5,AC726&gt;=0.36),1,0)</f>
        <v>0</v>
      </c>
      <c r="CH726" s="1360"/>
      <c r="CI726" s="1342">
        <f>IF(CG726=1,G726,0)</f>
        <v>0</v>
      </c>
      <c r="CJ726" s="1344"/>
      <c r="CK726" s="1358">
        <f t="shared" ref="CK726:CK760" si="18">IF(AND(AC726&lt;=0.35,AC726&gt;0),1,0)</f>
        <v>1</v>
      </c>
      <c r="CL726" s="1360"/>
      <c r="CM726" s="1342">
        <f t="shared" ref="CM726:CM760" si="19">IF(CK726=1,G726,0)</f>
        <v>17</v>
      </c>
      <c r="CN726" s="1344"/>
      <c r="CO726" s="3"/>
      <c r="CP726" s="1339">
        <f t="shared" ref="CP726:CP760" si="20">IF(B726="SRO/Studio",G726,0)</f>
        <v>0</v>
      </c>
      <c r="CQ726" s="1340"/>
      <c r="CR726" s="1340"/>
      <c r="CS726" s="1340"/>
      <c r="CT726" s="1341"/>
      <c r="CU726" s="1361">
        <f t="shared" ref="CU726:CU760" si="21">IF(B726="1 Bedroom",G726,0)</f>
        <v>17</v>
      </c>
      <c r="CV726" s="1361"/>
      <c r="CW726" s="1361"/>
      <c r="CX726" s="1361"/>
      <c r="CY726" s="1361"/>
      <c r="CZ726" s="1361">
        <f t="shared" ref="CZ726:CZ760" si="22">IF(B726="2 Bedrooms",G726,0)</f>
        <v>0</v>
      </c>
      <c r="DA726" s="1361"/>
      <c r="DB726" s="1361"/>
      <c r="DC726" s="1361"/>
      <c r="DD726" s="1361"/>
      <c r="DE726" s="1361">
        <f t="shared" ref="DE726:DE760" si="23">IF(B726="3 Bedrooms",G726,0)</f>
        <v>0</v>
      </c>
      <c r="DF726" s="1361"/>
      <c r="DG726" s="1361"/>
      <c r="DH726" s="1361"/>
      <c r="DI726" s="1361"/>
      <c r="DJ726" s="1361">
        <f t="shared" ref="DJ726:DJ760" si="24">IF(B726="4 Bedrooms",G726,0)</f>
        <v>0</v>
      </c>
      <c r="DK726" s="1361"/>
      <c r="DL726" s="1361"/>
      <c r="DM726" s="1361"/>
      <c r="DN726" s="1361"/>
      <c r="DO726" s="1361">
        <f t="shared" ref="DO726:DO760" si="25">IF(B726="5 Bedrooms",G726,0)</f>
        <v>0</v>
      </c>
      <c r="DP726" s="1361"/>
      <c r="DQ726" s="1361"/>
      <c r="DR726" s="1361"/>
      <c r="DS726" s="1361"/>
      <c r="DT726" s="6"/>
      <c r="DU726" s="1382">
        <f t="shared" ref="DU726:DU760" si="26">IF(AND(B726="SRO/Studio",AC726&lt;=0.3),G726,0)</f>
        <v>0</v>
      </c>
      <c r="DV726" s="1382"/>
      <c r="DW726" s="1382"/>
      <c r="DX726" s="1382"/>
      <c r="DY726" s="1382"/>
      <c r="DZ726" s="1382">
        <f t="shared" ref="DZ726:DZ760" si="27">IF(AND(B726="1 Bedroom",AC726&lt;=0.3),G726,0)</f>
        <v>17</v>
      </c>
      <c r="EA726" s="1382"/>
      <c r="EB726" s="1382"/>
      <c r="EC726" s="1382"/>
      <c r="ED726" s="1382"/>
      <c r="EE726" s="1382">
        <f t="shared" ref="EE726:EE760" si="28">IF(AND(B726="2 Bedrooms",AC726&lt;=0.3),G726,0)</f>
        <v>0</v>
      </c>
      <c r="EF726" s="1382"/>
      <c r="EG726" s="1382"/>
      <c r="EH726" s="1382"/>
      <c r="EI726" s="1382"/>
      <c r="EJ726" s="1382">
        <f t="shared" ref="EJ726:EJ760" si="29">IF(AND(B726="3 Bedrooms",AC726&lt;=0.3),G726,0)</f>
        <v>0</v>
      </c>
      <c r="EK726" s="1382"/>
      <c r="EL726" s="1382"/>
      <c r="EM726" s="1382"/>
      <c r="EN726" s="1382"/>
      <c r="EO726" s="1382">
        <f t="shared" ref="EO726:EO760" si="30">IF(AND(B726="4 Bedrooms",AC726&lt;=0.3),G726,0)</f>
        <v>0</v>
      </c>
      <c r="EP726" s="1382"/>
      <c r="EQ726" s="1382"/>
      <c r="ER726" s="1382"/>
      <c r="ES726" s="1382"/>
      <c r="ET726" s="1382">
        <f t="shared" ref="ET726:ET760" si="31">IF(AND(B726="5 Bedrooms",AC726&lt;=0.3),G726,0)</f>
        <v>0</v>
      </c>
      <c r="EU726" s="1382"/>
      <c r="EV726" s="1382"/>
      <c r="EW726" s="1382"/>
      <c r="EX726" s="1382"/>
      <c r="EY726" s="4"/>
      <c r="EZ726" s="1358" t="str">
        <f t="shared" ref="EZ726:EZ760" si="32">IF(CP726&gt;0,O726,"")</f>
        <v/>
      </c>
      <c r="FA726" s="1359"/>
      <c r="FB726" s="1359"/>
      <c r="FC726" s="1359"/>
      <c r="FD726" s="1360"/>
      <c r="FE726" s="1358">
        <f t="shared" ref="FE726:FE760" si="33">IF(CU726&gt;0,O726,"")</f>
        <v>804</v>
      </c>
      <c r="FF726" s="1359"/>
      <c r="FG726" s="1359"/>
      <c r="FH726" s="1359"/>
      <c r="FI726" s="1360"/>
      <c r="FJ726" s="1358" t="str">
        <f t="shared" ref="FJ726:FJ760" si="34">IF(CZ726&gt;0,O726,"")</f>
        <v/>
      </c>
      <c r="FK726" s="1359"/>
      <c r="FL726" s="1359"/>
      <c r="FM726" s="1359"/>
      <c r="FN726" s="1360"/>
      <c r="FO726" s="1358" t="str">
        <f t="shared" ref="FO726:FO760" si="35">IF(DE726&gt;0,O726,"")</f>
        <v/>
      </c>
      <c r="FP726" s="1359"/>
      <c r="FQ726" s="1359"/>
      <c r="FR726" s="1359"/>
      <c r="FS726" s="1360"/>
      <c r="FT726" s="1358" t="str">
        <f t="shared" ref="FT726:FT760" si="36">IF(DJ726&gt;0,O726,"")</f>
        <v/>
      </c>
      <c r="FU726" s="1359"/>
      <c r="FV726" s="1359"/>
      <c r="FW726" s="1359"/>
      <c r="FX726" s="1360"/>
      <c r="FY726" s="1358" t="str">
        <f t="shared" ref="FY726:FY760" si="37">IF(DO726&gt;0,O726,"")</f>
        <v/>
      </c>
      <c r="FZ726" s="1359"/>
      <c r="GA726" s="1359"/>
      <c r="GB726" s="1359"/>
      <c r="GC726" s="1360"/>
    </row>
    <row r="727" spans="1:185" ht="12.95" customHeight="1">
      <c r="A727" s="4"/>
      <c r="B727" s="1362" t="s">
        <v>325</v>
      </c>
      <c r="C727" s="1363"/>
      <c r="D727" s="1363"/>
      <c r="E727" s="1363"/>
      <c r="F727" s="1364"/>
      <c r="G727" s="1371">
        <v>7</v>
      </c>
      <c r="H727" s="1372"/>
      <c r="I727" s="1372"/>
      <c r="J727" s="1373"/>
      <c r="K727" s="1489">
        <v>501</v>
      </c>
      <c r="L727" s="1490"/>
      <c r="M727" s="1490"/>
      <c r="N727" s="1491"/>
      <c r="O727" s="1378">
        <f>1704-T727</f>
        <v>1656</v>
      </c>
      <c r="P727" s="1379"/>
      <c r="Q727" s="1379"/>
      <c r="R727" s="1379"/>
      <c r="S727" s="1380"/>
      <c r="T727" s="1378">
        <f>Q840</f>
        <v>48</v>
      </c>
      <c r="U727" s="1379"/>
      <c r="V727" s="1379"/>
      <c r="W727" s="1380"/>
      <c r="X727" s="1365">
        <f t="shared" si="10"/>
        <v>1704</v>
      </c>
      <c r="Y727" s="1366"/>
      <c r="Z727" s="1366"/>
      <c r="AA727" s="1366"/>
      <c r="AB727" s="1367"/>
      <c r="AC727" s="1375">
        <v>0.6</v>
      </c>
      <c r="AD727" s="1376"/>
      <c r="AE727" s="1376"/>
      <c r="AF727" s="1376"/>
      <c r="AG727" s="1377"/>
      <c r="AH727" s="1368">
        <f t="shared" ref="AH727:AH760" si="38">IF($AC727&gt;0,($X727/$AZ727), "")</f>
        <v>0.6</v>
      </c>
      <c r="AI727" s="1369"/>
      <c r="AJ727" s="1370"/>
      <c r="AK727" s="1362" t="s">
        <v>591</v>
      </c>
      <c r="AL727" s="1363"/>
      <c r="AM727" s="1363"/>
      <c r="AN727" s="1363"/>
      <c r="AO727" s="1364"/>
      <c r="AP727" s="3"/>
      <c r="AQ727" s="3"/>
      <c r="AR727" s="3"/>
      <c r="AS727" s="3"/>
      <c r="AZ727" s="118">
        <f t="shared" si="11"/>
        <v>2840</v>
      </c>
      <c r="BA727" s="3"/>
      <c r="BB727" s="3"/>
      <c r="BC727" s="3"/>
      <c r="BD727" s="3"/>
      <c r="BE727" s="204"/>
      <c r="BF727" s="294">
        <f t="shared" si="12"/>
        <v>7</v>
      </c>
      <c r="BG727" s="297">
        <f t="shared" si="13"/>
        <v>4.7945205479452052E-2</v>
      </c>
      <c r="BH727" s="298">
        <f t="shared" si="14"/>
        <v>2.8767123287671229E-2</v>
      </c>
      <c r="BI727" s="3"/>
      <c r="BJ727" s="3"/>
      <c r="BK727" s="3"/>
      <c r="BL727" s="3"/>
      <c r="BM727" s="3"/>
      <c r="BN727" s="3"/>
      <c r="BS727" s="294">
        <f t="shared" si="15"/>
        <v>7</v>
      </c>
      <c r="BT727" s="297">
        <f t="shared" si="16"/>
        <v>4.7945205479452052E-2</v>
      </c>
      <c r="BU727" s="298">
        <f t="shared" si="17"/>
        <v>2.8767123287671229E-2</v>
      </c>
      <c r="CC727" s="3"/>
      <c r="CD727" s="3"/>
      <c r="CE727" s="3"/>
      <c r="CF727" s="3"/>
      <c r="CG727" s="1358">
        <f t="shared" ref="CG727:CG760" si="39">IF(AND(AC727&lt;=0.5,AC727&gt;=0.36),1,0)</f>
        <v>0</v>
      </c>
      <c r="CH727" s="1360"/>
      <c r="CI727" s="1342">
        <f t="shared" ref="CI727:CI760" si="40">IF(CG727=1,G727,0)</f>
        <v>0</v>
      </c>
      <c r="CJ727" s="1344"/>
      <c r="CK727" s="1358">
        <f t="shared" si="18"/>
        <v>0</v>
      </c>
      <c r="CL727" s="1360"/>
      <c r="CM727" s="1342">
        <f t="shared" si="19"/>
        <v>0</v>
      </c>
      <c r="CN727" s="1344"/>
      <c r="CO727" s="3"/>
      <c r="CP727" s="1339">
        <f t="shared" si="20"/>
        <v>0</v>
      </c>
      <c r="CQ727" s="1340"/>
      <c r="CR727" s="1340"/>
      <c r="CS727" s="1340"/>
      <c r="CT727" s="1341"/>
      <c r="CU727" s="1361">
        <f t="shared" si="21"/>
        <v>7</v>
      </c>
      <c r="CV727" s="1361"/>
      <c r="CW727" s="1361"/>
      <c r="CX727" s="1361"/>
      <c r="CY727" s="1361"/>
      <c r="CZ727" s="1361">
        <f t="shared" si="22"/>
        <v>0</v>
      </c>
      <c r="DA727" s="1361"/>
      <c r="DB727" s="1361"/>
      <c r="DC727" s="1361"/>
      <c r="DD727" s="1361"/>
      <c r="DE727" s="1361">
        <f t="shared" si="23"/>
        <v>0</v>
      </c>
      <c r="DF727" s="1361"/>
      <c r="DG727" s="1361"/>
      <c r="DH727" s="1361"/>
      <c r="DI727" s="1361"/>
      <c r="DJ727" s="1361">
        <f t="shared" si="24"/>
        <v>0</v>
      </c>
      <c r="DK727" s="1361"/>
      <c r="DL727" s="1361"/>
      <c r="DM727" s="1361"/>
      <c r="DN727" s="1361"/>
      <c r="DO727" s="1361">
        <f t="shared" si="25"/>
        <v>0</v>
      </c>
      <c r="DP727" s="1361"/>
      <c r="DQ727" s="1361"/>
      <c r="DR727" s="1361"/>
      <c r="DS727" s="1361"/>
      <c r="DT727" s="6"/>
      <c r="DU727" s="1382">
        <f t="shared" si="26"/>
        <v>0</v>
      </c>
      <c r="DV727" s="1382"/>
      <c r="DW727" s="1382"/>
      <c r="DX727" s="1382"/>
      <c r="DY727" s="1382"/>
      <c r="DZ727" s="1382">
        <f t="shared" si="27"/>
        <v>0</v>
      </c>
      <c r="EA727" s="1382"/>
      <c r="EB727" s="1382"/>
      <c r="EC727" s="1382"/>
      <c r="ED727" s="1382"/>
      <c r="EE727" s="1382">
        <f t="shared" si="28"/>
        <v>0</v>
      </c>
      <c r="EF727" s="1382"/>
      <c r="EG727" s="1382"/>
      <c r="EH727" s="1382"/>
      <c r="EI727" s="1382"/>
      <c r="EJ727" s="1382">
        <f t="shared" si="29"/>
        <v>0</v>
      </c>
      <c r="EK727" s="1382"/>
      <c r="EL727" s="1382"/>
      <c r="EM727" s="1382"/>
      <c r="EN727" s="1382"/>
      <c r="EO727" s="1382">
        <f t="shared" si="30"/>
        <v>0</v>
      </c>
      <c r="EP727" s="1382"/>
      <c r="EQ727" s="1382"/>
      <c r="ER727" s="1382"/>
      <c r="ES727" s="1382"/>
      <c r="ET727" s="1382">
        <f t="shared" si="31"/>
        <v>0</v>
      </c>
      <c r="EU727" s="1382"/>
      <c r="EV727" s="1382"/>
      <c r="EW727" s="1382"/>
      <c r="EX727" s="1382"/>
      <c r="EY727" s="4"/>
      <c r="EZ727" s="1358" t="str">
        <f t="shared" si="32"/>
        <v/>
      </c>
      <c r="FA727" s="1359"/>
      <c r="FB727" s="1359"/>
      <c r="FC727" s="1359"/>
      <c r="FD727" s="1360"/>
      <c r="FE727" s="1358">
        <f t="shared" si="33"/>
        <v>1656</v>
      </c>
      <c r="FF727" s="1359"/>
      <c r="FG727" s="1359"/>
      <c r="FH727" s="1359"/>
      <c r="FI727" s="1360"/>
      <c r="FJ727" s="1358" t="str">
        <f t="shared" si="34"/>
        <v/>
      </c>
      <c r="FK727" s="1359"/>
      <c r="FL727" s="1359"/>
      <c r="FM727" s="1359"/>
      <c r="FN727" s="1360"/>
      <c r="FO727" s="1358" t="str">
        <f t="shared" si="35"/>
        <v/>
      </c>
      <c r="FP727" s="1359"/>
      <c r="FQ727" s="1359"/>
      <c r="FR727" s="1359"/>
      <c r="FS727" s="1360"/>
      <c r="FT727" s="1358" t="str">
        <f t="shared" si="36"/>
        <v/>
      </c>
      <c r="FU727" s="1359"/>
      <c r="FV727" s="1359"/>
      <c r="FW727" s="1359"/>
      <c r="FX727" s="1360"/>
      <c r="FY727" s="1358" t="str">
        <f t="shared" si="37"/>
        <v/>
      </c>
      <c r="FZ727" s="1359"/>
      <c r="GA727" s="1359"/>
      <c r="GB727" s="1359"/>
      <c r="GC727" s="1360"/>
    </row>
    <row r="728" spans="1:185" ht="12.95" customHeight="1">
      <c r="A728" s="4"/>
      <c r="B728" s="1362" t="s">
        <v>325</v>
      </c>
      <c r="C728" s="1363"/>
      <c r="D728" s="1363"/>
      <c r="E728" s="1363"/>
      <c r="F728" s="1364"/>
      <c r="G728" s="1371">
        <v>48</v>
      </c>
      <c r="H728" s="1372"/>
      <c r="I728" s="1372"/>
      <c r="J728" s="1373"/>
      <c r="K728" s="1489">
        <v>501</v>
      </c>
      <c r="L728" s="1490"/>
      <c r="M728" s="1490"/>
      <c r="N728" s="1491"/>
      <c r="O728" s="1378">
        <f>1988-T728</f>
        <v>1940</v>
      </c>
      <c r="P728" s="1379"/>
      <c r="Q728" s="1379"/>
      <c r="R728" s="1379"/>
      <c r="S728" s="1380"/>
      <c r="T728" s="1378">
        <f>Q840</f>
        <v>48</v>
      </c>
      <c r="U728" s="1379"/>
      <c r="V728" s="1379"/>
      <c r="W728" s="1380"/>
      <c r="X728" s="1365">
        <f t="shared" si="10"/>
        <v>1988</v>
      </c>
      <c r="Y728" s="1366"/>
      <c r="Z728" s="1366"/>
      <c r="AA728" s="1366"/>
      <c r="AB728" s="1367"/>
      <c r="AC728" s="1375">
        <v>0.7</v>
      </c>
      <c r="AD728" s="1376"/>
      <c r="AE728" s="1376"/>
      <c r="AF728" s="1376"/>
      <c r="AG728" s="1377"/>
      <c r="AH728" s="1368">
        <f t="shared" si="38"/>
        <v>0.7</v>
      </c>
      <c r="AI728" s="1369"/>
      <c r="AJ728" s="1370"/>
      <c r="AK728" s="1362" t="s">
        <v>591</v>
      </c>
      <c r="AL728" s="1363"/>
      <c r="AM728" s="1363"/>
      <c r="AN728" s="1363"/>
      <c r="AO728" s="1364"/>
      <c r="AP728" s="3"/>
      <c r="AQ728" s="3"/>
      <c r="AR728" s="3"/>
      <c r="AS728" s="3"/>
      <c r="AZ728" s="118">
        <f t="shared" si="11"/>
        <v>2840</v>
      </c>
      <c r="BA728" s="3"/>
      <c r="BB728" s="3"/>
      <c r="BC728" s="3"/>
      <c r="BD728" s="3"/>
      <c r="BE728" s="204"/>
      <c r="BF728" s="294">
        <f t="shared" si="12"/>
        <v>48</v>
      </c>
      <c r="BG728" s="297">
        <f t="shared" si="13"/>
        <v>0.32876712328767121</v>
      </c>
      <c r="BH728" s="298">
        <f t="shared" si="14"/>
        <v>0.23013698630136983</v>
      </c>
      <c r="BI728" s="3"/>
      <c r="BJ728" s="3"/>
      <c r="BK728" s="3"/>
      <c r="BL728" s="3"/>
      <c r="BM728" s="3"/>
      <c r="BN728" s="3"/>
      <c r="BS728" s="294">
        <f t="shared" si="15"/>
        <v>48</v>
      </c>
      <c r="BT728" s="297">
        <f t="shared" si="16"/>
        <v>0.32876712328767121</v>
      </c>
      <c r="BU728" s="298">
        <f t="shared" si="17"/>
        <v>0.23013698630136983</v>
      </c>
      <c r="CC728" s="3"/>
      <c r="CD728" s="3"/>
      <c r="CE728" s="3"/>
      <c r="CF728" s="3"/>
      <c r="CG728" s="1358">
        <f t="shared" si="39"/>
        <v>0</v>
      </c>
      <c r="CH728" s="1360"/>
      <c r="CI728" s="1342">
        <f t="shared" si="40"/>
        <v>0</v>
      </c>
      <c r="CJ728" s="1344"/>
      <c r="CK728" s="1358">
        <f t="shared" si="18"/>
        <v>0</v>
      </c>
      <c r="CL728" s="1360"/>
      <c r="CM728" s="1342">
        <f t="shared" si="19"/>
        <v>0</v>
      </c>
      <c r="CN728" s="1344"/>
      <c r="CO728" s="3"/>
      <c r="CP728" s="1339">
        <f t="shared" si="20"/>
        <v>0</v>
      </c>
      <c r="CQ728" s="1340"/>
      <c r="CR728" s="1340"/>
      <c r="CS728" s="1340"/>
      <c r="CT728" s="1341"/>
      <c r="CU728" s="1361">
        <f t="shared" si="21"/>
        <v>48</v>
      </c>
      <c r="CV728" s="1361"/>
      <c r="CW728" s="1361"/>
      <c r="CX728" s="1361"/>
      <c r="CY728" s="1361"/>
      <c r="CZ728" s="1361">
        <f t="shared" si="22"/>
        <v>0</v>
      </c>
      <c r="DA728" s="1361"/>
      <c r="DB728" s="1361"/>
      <c r="DC728" s="1361"/>
      <c r="DD728" s="1361"/>
      <c r="DE728" s="1361">
        <f t="shared" si="23"/>
        <v>0</v>
      </c>
      <c r="DF728" s="1361"/>
      <c r="DG728" s="1361"/>
      <c r="DH728" s="1361"/>
      <c r="DI728" s="1361"/>
      <c r="DJ728" s="1361">
        <f t="shared" si="24"/>
        <v>0</v>
      </c>
      <c r="DK728" s="1361"/>
      <c r="DL728" s="1361"/>
      <c r="DM728" s="1361"/>
      <c r="DN728" s="1361"/>
      <c r="DO728" s="1361">
        <f t="shared" si="25"/>
        <v>0</v>
      </c>
      <c r="DP728" s="1361"/>
      <c r="DQ728" s="1361"/>
      <c r="DR728" s="1361"/>
      <c r="DS728" s="1361"/>
      <c r="DT728" s="6"/>
      <c r="DU728" s="1382">
        <f t="shared" si="26"/>
        <v>0</v>
      </c>
      <c r="DV728" s="1382"/>
      <c r="DW728" s="1382"/>
      <c r="DX728" s="1382"/>
      <c r="DY728" s="1382"/>
      <c r="DZ728" s="1382">
        <f t="shared" si="27"/>
        <v>0</v>
      </c>
      <c r="EA728" s="1382"/>
      <c r="EB728" s="1382"/>
      <c r="EC728" s="1382"/>
      <c r="ED728" s="1382"/>
      <c r="EE728" s="1382">
        <f t="shared" si="28"/>
        <v>0</v>
      </c>
      <c r="EF728" s="1382"/>
      <c r="EG728" s="1382"/>
      <c r="EH728" s="1382"/>
      <c r="EI728" s="1382"/>
      <c r="EJ728" s="1382">
        <f t="shared" si="29"/>
        <v>0</v>
      </c>
      <c r="EK728" s="1382"/>
      <c r="EL728" s="1382"/>
      <c r="EM728" s="1382"/>
      <c r="EN728" s="1382"/>
      <c r="EO728" s="1382">
        <f t="shared" si="30"/>
        <v>0</v>
      </c>
      <c r="EP728" s="1382"/>
      <c r="EQ728" s="1382"/>
      <c r="ER728" s="1382"/>
      <c r="ES728" s="1382"/>
      <c r="ET728" s="1382">
        <f t="shared" si="31"/>
        <v>0</v>
      </c>
      <c r="EU728" s="1382"/>
      <c r="EV728" s="1382"/>
      <c r="EW728" s="1382"/>
      <c r="EX728" s="1382"/>
      <c r="EZ728" s="1358" t="str">
        <f t="shared" si="32"/>
        <v/>
      </c>
      <c r="FA728" s="1359"/>
      <c r="FB728" s="1359"/>
      <c r="FC728" s="1359"/>
      <c r="FD728" s="1360"/>
      <c r="FE728" s="1358">
        <f t="shared" si="33"/>
        <v>1940</v>
      </c>
      <c r="FF728" s="1359"/>
      <c r="FG728" s="1359"/>
      <c r="FH728" s="1359"/>
      <c r="FI728" s="1360"/>
      <c r="FJ728" s="1358" t="str">
        <f t="shared" si="34"/>
        <v/>
      </c>
      <c r="FK728" s="1359"/>
      <c r="FL728" s="1359"/>
      <c r="FM728" s="1359"/>
      <c r="FN728" s="1360"/>
      <c r="FO728" s="1358" t="str">
        <f t="shared" si="35"/>
        <v/>
      </c>
      <c r="FP728" s="1359"/>
      <c r="FQ728" s="1359"/>
      <c r="FR728" s="1359"/>
      <c r="FS728" s="1360"/>
      <c r="FT728" s="1358" t="str">
        <f t="shared" si="36"/>
        <v/>
      </c>
      <c r="FU728" s="1359"/>
      <c r="FV728" s="1359"/>
      <c r="FW728" s="1359"/>
      <c r="FX728" s="1360"/>
      <c r="FY728" s="1358" t="str">
        <f t="shared" si="37"/>
        <v/>
      </c>
      <c r="FZ728" s="1359"/>
      <c r="GA728" s="1359"/>
      <c r="GB728" s="1359"/>
      <c r="GC728" s="1360"/>
    </row>
    <row r="729" spans="1:185" ht="12.95" customHeight="1">
      <c r="B729" s="1362" t="s">
        <v>163</v>
      </c>
      <c r="C729" s="1363"/>
      <c r="D729" s="1363"/>
      <c r="E729" s="1363"/>
      <c r="F729" s="1364"/>
      <c r="G729" s="1371">
        <v>12</v>
      </c>
      <c r="H729" s="1372"/>
      <c r="I729" s="1372"/>
      <c r="J729" s="1373"/>
      <c r="K729" s="1489">
        <v>614</v>
      </c>
      <c r="L729" s="1490"/>
      <c r="M729" s="1490"/>
      <c r="N729" s="1491"/>
      <c r="O729" s="1378">
        <f>1021.8-T729</f>
        <v>959.8</v>
      </c>
      <c r="P729" s="1379"/>
      <c r="Q729" s="1379"/>
      <c r="R729" s="1379"/>
      <c r="S729" s="1380"/>
      <c r="T729" s="1378">
        <f>U840</f>
        <v>62</v>
      </c>
      <c r="U729" s="1379"/>
      <c r="V729" s="1379"/>
      <c r="W729" s="1380"/>
      <c r="X729" s="1365">
        <f t="shared" si="10"/>
        <v>1021.8</v>
      </c>
      <c r="Y729" s="1366"/>
      <c r="Z729" s="1366"/>
      <c r="AA729" s="1366"/>
      <c r="AB729" s="1367"/>
      <c r="AC729" s="1375">
        <v>0.3</v>
      </c>
      <c r="AD729" s="1376"/>
      <c r="AE729" s="1376"/>
      <c r="AF729" s="1376"/>
      <c r="AG729" s="1377"/>
      <c r="AH729" s="1368">
        <f t="shared" si="38"/>
        <v>0.3</v>
      </c>
      <c r="AI729" s="1369"/>
      <c r="AJ729" s="1370"/>
      <c r="AK729" s="1362" t="s">
        <v>591</v>
      </c>
      <c r="AL729" s="1363"/>
      <c r="AM729" s="1363"/>
      <c r="AN729" s="1363"/>
      <c r="AO729" s="1364"/>
      <c r="AP729" s="3"/>
      <c r="AQ729" s="3"/>
      <c r="AR729" s="3"/>
      <c r="AS729" s="3"/>
      <c r="AY729" s="116"/>
      <c r="AZ729" s="118">
        <f t="shared" si="11"/>
        <v>3406</v>
      </c>
      <c r="BA729" s="3"/>
      <c r="BB729" s="3"/>
      <c r="BC729" s="3"/>
      <c r="BD729" s="3"/>
      <c r="BE729" s="204"/>
      <c r="BF729" s="294">
        <f t="shared" si="12"/>
        <v>12</v>
      </c>
      <c r="BG729" s="297">
        <f t="shared" si="13"/>
        <v>8.2191780821917804E-2</v>
      </c>
      <c r="BH729" s="298">
        <f t="shared" si="14"/>
        <v>2.4657534246575342E-2</v>
      </c>
      <c r="BI729" s="3"/>
      <c r="BJ729" s="3"/>
      <c r="BK729" s="3"/>
      <c r="BL729" s="3"/>
      <c r="BM729" s="3"/>
      <c r="BN729" s="3"/>
      <c r="BS729" s="294">
        <f t="shared" si="15"/>
        <v>12</v>
      </c>
      <c r="BT729" s="297">
        <f t="shared" si="16"/>
        <v>8.2191780821917804E-2</v>
      </c>
      <c r="BU729" s="298">
        <f t="shared" si="17"/>
        <v>2.4657534246575342E-2</v>
      </c>
      <c r="CC729" s="3"/>
      <c r="CD729" s="3"/>
      <c r="CE729" s="3"/>
      <c r="CF729" s="3"/>
      <c r="CG729" s="1358">
        <f t="shared" si="39"/>
        <v>0</v>
      </c>
      <c r="CH729" s="1360"/>
      <c r="CI729" s="1342">
        <f t="shared" si="40"/>
        <v>0</v>
      </c>
      <c r="CJ729" s="1344"/>
      <c r="CK729" s="1358">
        <f t="shared" si="18"/>
        <v>1</v>
      </c>
      <c r="CL729" s="1360"/>
      <c r="CM729" s="1342">
        <f t="shared" si="19"/>
        <v>12</v>
      </c>
      <c r="CN729" s="1344"/>
      <c r="CO729" s="3"/>
      <c r="CP729" s="1339">
        <f t="shared" si="20"/>
        <v>0</v>
      </c>
      <c r="CQ729" s="1340"/>
      <c r="CR729" s="1340"/>
      <c r="CS729" s="1340"/>
      <c r="CT729" s="1341"/>
      <c r="CU729" s="1361">
        <f t="shared" si="21"/>
        <v>0</v>
      </c>
      <c r="CV729" s="1361"/>
      <c r="CW729" s="1361"/>
      <c r="CX729" s="1361"/>
      <c r="CY729" s="1361"/>
      <c r="CZ729" s="1361">
        <f t="shared" si="22"/>
        <v>12</v>
      </c>
      <c r="DA729" s="1361"/>
      <c r="DB729" s="1361"/>
      <c r="DC729" s="1361"/>
      <c r="DD729" s="1361"/>
      <c r="DE729" s="1361">
        <f t="shared" si="23"/>
        <v>0</v>
      </c>
      <c r="DF729" s="1361"/>
      <c r="DG729" s="1361"/>
      <c r="DH729" s="1361"/>
      <c r="DI729" s="1361"/>
      <c r="DJ729" s="1361">
        <f t="shared" si="24"/>
        <v>0</v>
      </c>
      <c r="DK729" s="1361"/>
      <c r="DL729" s="1361"/>
      <c r="DM729" s="1361"/>
      <c r="DN729" s="1361"/>
      <c r="DO729" s="1361">
        <f t="shared" si="25"/>
        <v>0</v>
      </c>
      <c r="DP729" s="1361"/>
      <c r="DQ729" s="1361"/>
      <c r="DR729" s="1361"/>
      <c r="DS729" s="1361"/>
      <c r="DT729" s="6"/>
      <c r="DU729" s="1382">
        <f t="shared" si="26"/>
        <v>0</v>
      </c>
      <c r="DV729" s="1382"/>
      <c r="DW729" s="1382"/>
      <c r="DX729" s="1382"/>
      <c r="DY729" s="1382"/>
      <c r="DZ729" s="1382">
        <f t="shared" si="27"/>
        <v>0</v>
      </c>
      <c r="EA729" s="1382"/>
      <c r="EB729" s="1382"/>
      <c r="EC729" s="1382"/>
      <c r="ED729" s="1382"/>
      <c r="EE729" s="1382">
        <f t="shared" si="28"/>
        <v>12</v>
      </c>
      <c r="EF729" s="1382"/>
      <c r="EG729" s="1382"/>
      <c r="EH729" s="1382"/>
      <c r="EI729" s="1382"/>
      <c r="EJ729" s="1382">
        <f t="shared" si="29"/>
        <v>0</v>
      </c>
      <c r="EK729" s="1382"/>
      <c r="EL729" s="1382"/>
      <c r="EM729" s="1382"/>
      <c r="EN729" s="1382"/>
      <c r="EO729" s="1382">
        <f t="shared" si="30"/>
        <v>0</v>
      </c>
      <c r="EP729" s="1382"/>
      <c r="EQ729" s="1382"/>
      <c r="ER729" s="1382"/>
      <c r="ES729" s="1382"/>
      <c r="ET729" s="1382">
        <f t="shared" si="31"/>
        <v>0</v>
      </c>
      <c r="EU729" s="1382"/>
      <c r="EV729" s="1382"/>
      <c r="EW729" s="1382"/>
      <c r="EX729" s="1382"/>
      <c r="EZ729" s="1358" t="str">
        <f t="shared" si="32"/>
        <v/>
      </c>
      <c r="FA729" s="1359"/>
      <c r="FB729" s="1359"/>
      <c r="FC729" s="1359"/>
      <c r="FD729" s="1360"/>
      <c r="FE729" s="1358" t="str">
        <f t="shared" si="33"/>
        <v/>
      </c>
      <c r="FF729" s="1359"/>
      <c r="FG729" s="1359"/>
      <c r="FH729" s="1359"/>
      <c r="FI729" s="1360"/>
      <c r="FJ729" s="1358">
        <f t="shared" si="34"/>
        <v>959.8</v>
      </c>
      <c r="FK729" s="1359"/>
      <c r="FL729" s="1359"/>
      <c r="FM729" s="1359"/>
      <c r="FN729" s="1360"/>
      <c r="FO729" s="1358" t="str">
        <f t="shared" si="35"/>
        <v/>
      </c>
      <c r="FP729" s="1359"/>
      <c r="FQ729" s="1359"/>
      <c r="FR729" s="1359"/>
      <c r="FS729" s="1360"/>
      <c r="FT729" s="1358" t="str">
        <f t="shared" si="36"/>
        <v/>
      </c>
      <c r="FU729" s="1359"/>
      <c r="FV729" s="1359"/>
      <c r="FW729" s="1359"/>
      <c r="FX729" s="1360"/>
      <c r="FY729" s="1358" t="str">
        <f t="shared" si="37"/>
        <v/>
      </c>
      <c r="FZ729" s="1359"/>
      <c r="GA729" s="1359"/>
      <c r="GB729" s="1359"/>
      <c r="GC729" s="1360"/>
    </row>
    <row r="730" spans="1:185" ht="12.95" customHeight="1">
      <c r="B730" s="1362" t="s">
        <v>163</v>
      </c>
      <c r="C730" s="1363"/>
      <c r="D730" s="1363"/>
      <c r="E730" s="1363"/>
      <c r="F730" s="1364"/>
      <c r="G730" s="1371">
        <v>39</v>
      </c>
      <c r="H730" s="1372"/>
      <c r="I730" s="1372"/>
      <c r="J730" s="1373"/>
      <c r="K730" s="1489">
        <v>614</v>
      </c>
      <c r="L730" s="1490"/>
      <c r="M730" s="1490"/>
      <c r="N730" s="1491"/>
      <c r="O730" s="1378">
        <f>2384.5-T730</f>
        <v>2322.5</v>
      </c>
      <c r="P730" s="1379"/>
      <c r="Q730" s="1379"/>
      <c r="R730" s="1379"/>
      <c r="S730" s="1380"/>
      <c r="T730" s="1378">
        <f>U840</f>
        <v>62</v>
      </c>
      <c r="U730" s="1379"/>
      <c r="V730" s="1379"/>
      <c r="W730" s="1380"/>
      <c r="X730" s="1365">
        <f t="shared" si="10"/>
        <v>2384.5</v>
      </c>
      <c r="Y730" s="1366"/>
      <c r="Z730" s="1366"/>
      <c r="AA730" s="1366"/>
      <c r="AB730" s="1367"/>
      <c r="AC730" s="1375">
        <v>0.7</v>
      </c>
      <c r="AD730" s="1376"/>
      <c r="AE730" s="1376"/>
      <c r="AF730" s="1376"/>
      <c r="AG730" s="1377"/>
      <c r="AH730" s="1368">
        <f t="shared" si="38"/>
        <v>0.70008807985907218</v>
      </c>
      <c r="AI730" s="1369"/>
      <c r="AJ730" s="1370"/>
      <c r="AK730" s="1362" t="s">
        <v>591</v>
      </c>
      <c r="AL730" s="1363"/>
      <c r="AM730" s="1363"/>
      <c r="AN730" s="1363"/>
      <c r="AO730" s="1364"/>
      <c r="AP730" s="3"/>
      <c r="AQ730" s="3"/>
      <c r="AR730" s="3"/>
      <c r="AS730" s="3"/>
      <c r="AY730" s="116"/>
      <c r="AZ730" s="118">
        <f t="shared" si="11"/>
        <v>3406</v>
      </c>
      <c r="BA730" s="3"/>
      <c r="BB730" s="3"/>
      <c r="BC730" s="3"/>
      <c r="BD730" s="3"/>
      <c r="BE730" s="204"/>
      <c r="BF730" s="294">
        <f t="shared" si="12"/>
        <v>39</v>
      </c>
      <c r="BG730" s="297">
        <f t="shared" si="13"/>
        <v>0.26712328767123289</v>
      </c>
      <c r="BH730" s="298">
        <f t="shared" si="14"/>
        <v>0.18698630136986302</v>
      </c>
      <c r="BI730" s="3"/>
      <c r="BJ730" s="3"/>
      <c r="BK730" s="3"/>
      <c r="BL730" s="3"/>
      <c r="BM730" s="3"/>
      <c r="BN730" s="3"/>
      <c r="BS730" s="294">
        <f t="shared" si="15"/>
        <v>39</v>
      </c>
      <c r="BT730" s="297">
        <f t="shared" si="16"/>
        <v>0.26712328767123289</v>
      </c>
      <c r="BU730" s="298">
        <f t="shared" si="17"/>
        <v>0.187009829551396</v>
      </c>
      <c r="CC730" s="3"/>
      <c r="CD730" s="3"/>
      <c r="CE730" s="3"/>
      <c r="CF730" s="3"/>
      <c r="CG730" s="1358">
        <f t="shared" si="39"/>
        <v>0</v>
      </c>
      <c r="CH730" s="1360"/>
      <c r="CI730" s="1342">
        <f t="shared" si="40"/>
        <v>0</v>
      </c>
      <c r="CJ730" s="1344"/>
      <c r="CK730" s="1358">
        <f t="shared" si="18"/>
        <v>0</v>
      </c>
      <c r="CL730" s="1360"/>
      <c r="CM730" s="1342">
        <f t="shared" si="19"/>
        <v>0</v>
      </c>
      <c r="CN730" s="1344"/>
      <c r="CO730" s="3"/>
      <c r="CP730" s="1339">
        <f t="shared" si="20"/>
        <v>0</v>
      </c>
      <c r="CQ730" s="1340"/>
      <c r="CR730" s="1340"/>
      <c r="CS730" s="1340"/>
      <c r="CT730" s="1341"/>
      <c r="CU730" s="1361">
        <f t="shared" si="21"/>
        <v>0</v>
      </c>
      <c r="CV730" s="1361"/>
      <c r="CW730" s="1361"/>
      <c r="CX730" s="1361"/>
      <c r="CY730" s="1361"/>
      <c r="CZ730" s="1361">
        <f t="shared" si="22"/>
        <v>39</v>
      </c>
      <c r="DA730" s="1361"/>
      <c r="DB730" s="1361"/>
      <c r="DC730" s="1361"/>
      <c r="DD730" s="1361"/>
      <c r="DE730" s="1361">
        <f t="shared" si="23"/>
        <v>0</v>
      </c>
      <c r="DF730" s="1361"/>
      <c r="DG730" s="1361"/>
      <c r="DH730" s="1361"/>
      <c r="DI730" s="1361"/>
      <c r="DJ730" s="1361">
        <f t="shared" si="24"/>
        <v>0</v>
      </c>
      <c r="DK730" s="1361"/>
      <c r="DL730" s="1361"/>
      <c r="DM730" s="1361"/>
      <c r="DN730" s="1361"/>
      <c r="DO730" s="1361">
        <f t="shared" si="25"/>
        <v>0</v>
      </c>
      <c r="DP730" s="1361"/>
      <c r="DQ730" s="1361"/>
      <c r="DR730" s="1361"/>
      <c r="DS730" s="1361"/>
      <c r="DT730" s="6"/>
      <c r="DU730" s="1382">
        <f t="shared" si="26"/>
        <v>0</v>
      </c>
      <c r="DV730" s="1382"/>
      <c r="DW730" s="1382"/>
      <c r="DX730" s="1382"/>
      <c r="DY730" s="1382"/>
      <c r="DZ730" s="1382">
        <f t="shared" si="27"/>
        <v>0</v>
      </c>
      <c r="EA730" s="1382"/>
      <c r="EB730" s="1382"/>
      <c r="EC730" s="1382"/>
      <c r="ED730" s="1382"/>
      <c r="EE730" s="1382">
        <f t="shared" si="28"/>
        <v>0</v>
      </c>
      <c r="EF730" s="1382"/>
      <c r="EG730" s="1382"/>
      <c r="EH730" s="1382"/>
      <c r="EI730" s="1382"/>
      <c r="EJ730" s="1382">
        <f t="shared" si="29"/>
        <v>0</v>
      </c>
      <c r="EK730" s="1382"/>
      <c r="EL730" s="1382"/>
      <c r="EM730" s="1382"/>
      <c r="EN730" s="1382"/>
      <c r="EO730" s="1382">
        <f t="shared" si="30"/>
        <v>0</v>
      </c>
      <c r="EP730" s="1382"/>
      <c r="EQ730" s="1382"/>
      <c r="ER730" s="1382"/>
      <c r="ES730" s="1382"/>
      <c r="ET730" s="1382">
        <f t="shared" si="31"/>
        <v>0</v>
      </c>
      <c r="EU730" s="1382"/>
      <c r="EV730" s="1382"/>
      <c r="EW730" s="1382"/>
      <c r="EX730" s="1382"/>
      <c r="EZ730" s="1358" t="str">
        <f t="shared" si="32"/>
        <v/>
      </c>
      <c r="FA730" s="1359"/>
      <c r="FB730" s="1359"/>
      <c r="FC730" s="1359"/>
      <c r="FD730" s="1360"/>
      <c r="FE730" s="1358" t="str">
        <f t="shared" si="33"/>
        <v/>
      </c>
      <c r="FF730" s="1359"/>
      <c r="FG730" s="1359"/>
      <c r="FH730" s="1359"/>
      <c r="FI730" s="1360"/>
      <c r="FJ730" s="1358">
        <f t="shared" si="34"/>
        <v>2322.5</v>
      </c>
      <c r="FK730" s="1359"/>
      <c r="FL730" s="1359"/>
      <c r="FM730" s="1359"/>
      <c r="FN730" s="1360"/>
      <c r="FO730" s="1358" t="str">
        <f t="shared" si="35"/>
        <v/>
      </c>
      <c r="FP730" s="1359"/>
      <c r="FQ730" s="1359"/>
      <c r="FR730" s="1359"/>
      <c r="FS730" s="1360"/>
      <c r="FT730" s="1358" t="str">
        <f t="shared" si="36"/>
        <v/>
      </c>
      <c r="FU730" s="1359"/>
      <c r="FV730" s="1359"/>
      <c r="FW730" s="1359"/>
      <c r="FX730" s="1360"/>
      <c r="FY730" s="1358" t="str">
        <f t="shared" si="37"/>
        <v/>
      </c>
      <c r="FZ730" s="1359"/>
      <c r="GA730" s="1359"/>
      <c r="GB730" s="1359"/>
      <c r="GC730" s="1360"/>
    </row>
    <row r="731" spans="1:185" ht="12.95" customHeight="1">
      <c r="B731" s="1362" t="s">
        <v>164</v>
      </c>
      <c r="C731" s="1363"/>
      <c r="D731" s="1363"/>
      <c r="E731" s="1363"/>
      <c r="F731" s="1364"/>
      <c r="G731" s="1371">
        <v>6</v>
      </c>
      <c r="H731" s="1372"/>
      <c r="I731" s="1372"/>
      <c r="J731" s="1373"/>
      <c r="K731" s="1489">
        <v>883</v>
      </c>
      <c r="L731" s="1490"/>
      <c r="M731" s="1490"/>
      <c r="N731" s="1491"/>
      <c r="O731" s="1378">
        <f>1181.4-T731</f>
        <v>1105.4000000000001</v>
      </c>
      <c r="P731" s="1379"/>
      <c r="Q731" s="1379"/>
      <c r="R731" s="1379"/>
      <c r="S731" s="1380"/>
      <c r="T731" s="1378">
        <f>Y840</f>
        <v>76</v>
      </c>
      <c r="U731" s="1379"/>
      <c r="V731" s="1379"/>
      <c r="W731" s="1380"/>
      <c r="X731" s="1365">
        <f t="shared" si="10"/>
        <v>1181.4000000000001</v>
      </c>
      <c r="Y731" s="1366"/>
      <c r="Z731" s="1366"/>
      <c r="AA731" s="1366"/>
      <c r="AB731" s="1367"/>
      <c r="AC731" s="1375">
        <v>0.3</v>
      </c>
      <c r="AD731" s="1376"/>
      <c r="AE731" s="1376"/>
      <c r="AF731" s="1376"/>
      <c r="AG731" s="1377"/>
      <c r="AH731" s="1368">
        <f t="shared" si="38"/>
        <v>0.30000000000000004</v>
      </c>
      <c r="AI731" s="1369"/>
      <c r="AJ731" s="1370"/>
      <c r="AK731" s="1362" t="s">
        <v>591</v>
      </c>
      <c r="AL731" s="1363"/>
      <c r="AM731" s="1363"/>
      <c r="AN731" s="1363"/>
      <c r="AO731" s="1364"/>
      <c r="AP731" s="3"/>
      <c r="AQ731" s="3"/>
      <c r="AR731" s="3"/>
      <c r="AS731" s="3"/>
      <c r="AY731" s="116"/>
      <c r="AZ731" s="118">
        <f t="shared" si="11"/>
        <v>3938</v>
      </c>
      <c r="BA731" s="3"/>
      <c r="BB731" s="3"/>
      <c r="BC731" s="3"/>
      <c r="BD731" s="3"/>
      <c r="BE731" s="204"/>
      <c r="BF731" s="294">
        <f t="shared" si="12"/>
        <v>6</v>
      </c>
      <c r="BG731" s="297">
        <f t="shared" si="13"/>
        <v>4.1095890410958902E-2</v>
      </c>
      <c r="BH731" s="298">
        <f t="shared" si="14"/>
        <v>1.2328767123287671E-2</v>
      </c>
      <c r="BI731" s="3"/>
      <c r="BJ731" s="3"/>
      <c r="BK731" s="3"/>
      <c r="BL731" s="3"/>
      <c r="BM731" s="3"/>
      <c r="BN731" s="3"/>
      <c r="BS731" s="294">
        <f t="shared" si="15"/>
        <v>6</v>
      </c>
      <c r="BT731" s="297">
        <f t="shared" si="16"/>
        <v>4.1095890410958902E-2</v>
      </c>
      <c r="BU731" s="298">
        <f t="shared" si="17"/>
        <v>1.2328767123287673E-2</v>
      </c>
      <c r="CC731" s="3"/>
      <c r="CD731" s="3"/>
      <c r="CE731" s="3"/>
      <c r="CF731" s="3"/>
      <c r="CG731" s="1358">
        <f t="shared" si="39"/>
        <v>0</v>
      </c>
      <c r="CH731" s="1360"/>
      <c r="CI731" s="1342">
        <f t="shared" si="40"/>
        <v>0</v>
      </c>
      <c r="CJ731" s="1344"/>
      <c r="CK731" s="1358">
        <f t="shared" si="18"/>
        <v>1</v>
      </c>
      <c r="CL731" s="1360"/>
      <c r="CM731" s="1342">
        <f t="shared" si="19"/>
        <v>6</v>
      </c>
      <c r="CN731" s="1344"/>
      <c r="CO731" s="3"/>
      <c r="CP731" s="1339">
        <f t="shared" si="20"/>
        <v>0</v>
      </c>
      <c r="CQ731" s="1340"/>
      <c r="CR731" s="1340"/>
      <c r="CS731" s="1340"/>
      <c r="CT731" s="1341"/>
      <c r="CU731" s="1361">
        <f t="shared" si="21"/>
        <v>0</v>
      </c>
      <c r="CV731" s="1361"/>
      <c r="CW731" s="1361"/>
      <c r="CX731" s="1361"/>
      <c r="CY731" s="1361"/>
      <c r="CZ731" s="1361">
        <f t="shared" si="22"/>
        <v>0</v>
      </c>
      <c r="DA731" s="1361"/>
      <c r="DB731" s="1361"/>
      <c r="DC731" s="1361"/>
      <c r="DD731" s="1361"/>
      <c r="DE731" s="1361">
        <f t="shared" si="23"/>
        <v>6</v>
      </c>
      <c r="DF731" s="1361"/>
      <c r="DG731" s="1361"/>
      <c r="DH731" s="1361"/>
      <c r="DI731" s="1361"/>
      <c r="DJ731" s="1361">
        <f t="shared" si="24"/>
        <v>0</v>
      </c>
      <c r="DK731" s="1361"/>
      <c r="DL731" s="1361"/>
      <c r="DM731" s="1361"/>
      <c r="DN731" s="1361"/>
      <c r="DO731" s="1361">
        <f t="shared" si="25"/>
        <v>0</v>
      </c>
      <c r="DP731" s="1361"/>
      <c r="DQ731" s="1361"/>
      <c r="DR731" s="1361"/>
      <c r="DS731" s="1361"/>
      <c r="DT731" s="6"/>
      <c r="DU731" s="1382">
        <f t="shared" si="26"/>
        <v>0</v>
      </c>
      <c r="DV731" s="1382"/>
      <c r="DW731" s="1382"/>
      <c r="DX731" s="1382"/>
      <c r="DY731" s="1382"/>
      <c r="DZ731" s="1382">
        <f t="shared" si="27"/>
        <v>0</v>
      </c>
      <c r="EA731" s="1382"/>
      <c r="EB731" s="1382"/>
      <c r="EC731" s="1382"/>
      <c r="ED731" s="1382"/>
      <c r="EE731" s="1382">
        <f t="shared" si="28"/>
        <v>0</v>
      </c>
      <c r="EF731" s="1382"/>
      <c r="EG731" s="1382"/>
      <c r="EH731" s="1382"/>
      <c r="EI731" s="1382"/>
      <c r="EJ731" s="1382">
        <f t="shared" si="29"/>
        <v>6</v>
      </c>
      <c r="EK731" s="1382"/>
      <c r="EL731" s="1382"/>
      <c r="EM731" s="1382"/>
      <c r="EN731" s="1382"/>
      <c r="EO731" s="1382">
        <f t="shared" si="30"/>
        <v>0</v>
      </c>
      <c r="EP731" s="1382"/>
      <c r="EQ731" s="1382"/>
      <c r="ER731" s="1382"/>
      <c r="ES731" s="1382"/>
      <c r="ET731" s="1382">
        <f t="shared" si="31"/>
        <v>0</v>
      </c>
      <c r="EU731" s="1382"/>
      <c r="EV731" s="1382"/>
      <c r="EW731" s="1382"/>
      <c r="EX731" s="1382"/>
      <c r="EZ731" s="1358" t="str">
        <f t="shared" si="32"/>
        <v/>
      </c>
      <c r="FA731" s="1359"/>
      <c r="FB731" s="1359"/>
      <c r="FC731" s="1359"/>
      <c r="FD731" s="1360"/>
      <c r="FE731" s="1358" t="str">
        <f t="shared" si="33"/>
        <v/>
      </c>
      <c r="FF731" s="1359"/>
      <c r="FG731" s="1359"/>
      <c r="FH731" s="1359"/>
      <c r="FI731" s="1360"/>
      <c r="FJ731" s="1358" t="str">
        <f t="shared" si="34"/>
        <v/>
      </c>
      <c r="FK731" s="1359"/>
      <c r="FL731" s="1359"/>
      <c r="FM731" s="1359"/>
      <c r="FN731" s="1360"/>
      <c r="FO731" s="1358">
        <f t="shared" si="35"/>
        <v>1105.4000000000001</v>
      </c>
      <c r="FP731" s="1359"/>
      <c r="FQ731" s="1359"/>
      <c r="FR731" s="1359"/>
      <c r="FS731" s="1360"/>
      <c r="FT731" s="1358" t="str">
        <f t="shared" si="36"/>
        <v/>
      </c>
      <c r="FU731" s="1359"/>
      <c r="FV731" s="1359"/>
      <c r="FW731" s="1359"/>
      <c r="FX731" s="1360"/>
      <c r="FY731" s="1358" t="str">
        <f t="shared" si="37"/>
        <v/>
      </c>
      <c r="FZ731" s="1359"/>
      <c r="GA731" s="1359"/>
      <c r="GB731" s="1359"/>
      <c r="GC731" s="1360"/>
    </row>
    <row r="732" spans="1:185" ht="12.95" customHeight="1">
      <c r="B732" s="1362" t="s">
        <v>164</v>
      </c>
      <c r="C732" s="1363"/>
      <c r="D732" s="1363"/>
      <c r="E732" s="1363"/>
      <c r="F732" s="1364"/>
      <c r="G732" s="1371">
        <v>4</v>
      </c>
      <c r="H732" s="1372"/>
      <c r="I732" s="1372"/>
      <c r="J732" s="1373"/>
      <c r="K732" s="1489">
        <v>883</v>
      </c>
      <c r="L732" s="1490"/>
      <c r="M732" s="1490"/>
      <c r="N732" s="1491"/>
      <c r="O732" s="1378">
        <f>2362.8-T732</f>
        <v>2286.8000000000002</v>
      </c>
      <c r="P732" s="1379"/>
      <c r="Q732" s="1379"/>
      <c r="R732" s="1379"/>
      <c r="S732" s="1380"/>
      <c r="T732" s="1378">
        <f>Y840</f>
        <v>76</v>
      </c>
      <c r="U732" s="1379"/>
      <c r="V732" s="1379"/>
      <c r="W732" s="1380"/>
      <c r="X732" s="1365">
        <f t="shared" si="10"/>
        <v>2362.8000000000002</v>
      </c>
      <c r="Y732" s="1366"/>
      <c r="Z732" s="1366"/>
      <c r="AA732" s="1366"/>
      <c r="AB732" s="1367"/>
      <c r="AC732" s="1375">
        <v>0.6</v>
      </c>
      <c r="AD732" s="1376"/>
      <c r="AE732" s="1376"/>
      <c r="AF732" s="1376"/>
      <c r="AG732" s="1377"/>
      <c r="AH732" s="1368">
        <f t="shared" si="38"/>
        <v>0.60000000000000009</v>
      </c>
      <c r="AI732" s="1369"/>
      <c r="AJ732" s="1370"/>
      <c r="AK732" s="1362" t="s">
        <v>591</v>
      </c>
      <c r="AL732" s="1363"/>
      <c r="AM732" s="1363"/>
      <c r="AN732" s="1363"/>
      <c r="AO732" s="1364"/>
      <c r="AP732" s="3"/>
      <c r="AQ732" s="3"/>
      <c r="AR732" s="3"/>
      <c r="AS732" s="3"/>
      <c r="AY732" s="116"/>
      <c r="AZ732" s="118">
        <f t="shared" si="11"/>
        <v>3938</v>
      </c>
      <c r="BA732" s="3"/>
      <c r="BB732" s="3"/>
      <c r="BC732" s="3"/>
      <c r="BD732" s="3"/>
      <c r="BE732" s="204"/>
      <c r="BF732" s="294">
        <f t="shared" si="12"/>
        <v>4</v>
      </c>
      <c r="BG732" s="297">
        <f t="shared" si="13"/>
        <v>2.7397260273972601E-2</v>
      </c>
      <c r="BH732" s="298">
        <f t="shared" si="14"/>
        <v>1.643835616438356E-2</v>
      </c>
      <c r="BI732" s="3"/>
      <c r="BJ732" s="3"/>
      <c r="BK732" s="3"/>
      <c r="BL732" s="3"/>
      <c r="BM732" s="3"/>
      <c r="BN732" s="3"/>
      <c r="BS732" s="294">
        <f t="shared" si="15"/>
        <v>4</v>
      </c>
      <c r="BT732" s="297">
        <f t="shared" si="16"/>
        <v>2.7397260273972601E-2</v>
      </c>
      <c r="BU732" s="298">
        <f t="shared" si="17"/>
        <v>1.6438356164383564E-2</v>
      </c>
      <c r="CC732" s="3"/>
      <c r="CE732" s="3"/>
      <c r="CF732" s="3"/>
      <c r="CG732" s="1358">
        <f t="shared" si="39"/>
        <v>0</v>
      </c>
      <c r="CH732" s="1360"/>
      <c r="CI732" s="1342">
        <f t="shared" si="40"/>
        <v>0</v>
      </c>
      <c r="CJ732" s="1344"/>
      <c r="CK732" s="1358">
        <f t="shared" si="18"/>
        <v>0</v>
      </c>
      <c r="CL732" s="1360"/>
      <c r="CM732" s="1342">
        <f t="shared" si="19"/>
        <v>0</v>
      </c>
      <c r="CN732" s="1344"/>
      <c r="CO732" s="3"/>
      <c r="CP732" s="1339">
        <f t="shared" si="20"/>
        <v>0</v>
      </c>
      <c r="CQ732" s="1340"/>
      <c r="CR732" s="1340"/>
      <c r="CS732" s="1340"/>
      <c r="CT732" s="1341"/>
      <c r="CU732" s="1361">
        <f t="shared" si="21"/>
        <v>0</v>
      </c>
      <c r="CV732" s="1361"/>
      <c r="CW732" s="1361"/>
      <c r="CX732" s="1361"/>
      <c r="CY732" s="1361"/>
      <c r="CZ732" s="1361">
        <f t="shared" si="22"/>
        <v>0</v>
      </c>
      <c r="DA732" s="1361"/>
      <c r="DB732" s="1361"/>
      <c r="DC732" s="1361"/>
      <c r="DD732" s="1361"/>
      <c r="DE732" s="1361">
        <f t="shared" si="23"/>
        <v>4</v>
      </c>
      <c r="DF732" s="1361"/>
      <c r="DG732" s="1361"/>
      <c r="DH732" s="1361"/>
      <c r="DI732" s="1361"/>
      <c r="DJ732" s="1361">
        <f t="shared" si="24"/>
        <v>0</v>
      </c>
      <c r="DK732" s="1361"/>
      <c r="DL732" s="1361"/>
      <c r="DM732" s="1361"/>
      <c r="DN732" s="1361"/>
      <c r="DO732" s="1361">
        <f t="shared" si="25"/>
        <v>0</v>
      </c>
      <c r="DP732" s="1361"/>
      <c r="DQ732" s="1361"/>
      <c r="DR732" s="1361"/>
      <c r="DS732" s="1361"/>
      <c r="DT732" s="6"/>
      <c r="DU732" s="1382">
        <f t="shared" si="26"/>
        <v>0</v>
      </c>
      <c r="DV732" s="1382"/>
      <c r="DW732" s="1382"/>
      <c r="DX732" s="1382"/>
      <c r="DY732" s="1382"/>
      <c r="DZ732" s="1382">
        <f t="shared" si="27"/>
        <v>0</v>
      </c>
      <c r="EA732" s="1382"/>
      <c r="EB732" s="1382"/>
      <c r="EC732" s="1382"/>
      <c r="ED732" s="1382"/>
      <c r="EE732" s="1382">
        <f t="shared" si="28"/>
        <v>0</v>
      </c>
      <c r="EF732" s="1382"/>
      <c r="EG732" s="1382"/>
      <c r="EH732" s="1382"/>
      <c r="EI732" s="1382"/>
      <c r="EJ732" s="1382">
        <f t="shared" si="29"/>
        <v>0</v>
      </c>
      <c r="EK732" s="1382"/>
      <c r="EL732" s="1382"/>
      <c r="EM732" s="1382"/>
      <c r="EN732" s="1382"/>
      <c r="EO732" s="1382">
        <f t="shared" si="30"/>
        <v>0</v>
      </c>
      <c r="EP732" s="1382"/>
      <c r="EQ732" s="1382"/>
      <c r="ER732" s="1382"/>
      <c r="ES732" s="1382"/>
      <c r="ET732" s="1382">
        <f t="shared" si="31"/>
        <v>0</v>
      </c>
      <c r="EU732" s="1382"/>
      <c r="EV732" s="1382"/>
      <c r="EW732" s="1382"/>
      <c r="EX732" s="1382"/>
      <c r="EZ732" s="1358" t="str">
        <f t="shared" si="32"/>
        <v/>
      </c>
      <c r="FA732" s="1359"/>
      <c r="FB732" s="1359"/>
      <c r="FC732" s="1359"/>
      <c r="FD732" s="1360"/>
      <c r="FE732" s="1358" t="str">
        <f t="shared" si="33"/>
        <v/>
      </c>
      <c r="FF732" s="1359"/>
      <c r="FG732" s="1359"/>
      <c r="FH732" s="1359"/>
      <c r="FI732" s="1360"/>
      <c r="FJ732" s="1358" t="str">
        <f t="shared" si="34"/>
        <v/>
      </c>
      <c r="FK732" s="1359"/>
      <c r="FL732" s="1359"/>
      <c r="FM732" s="1359"/>
      <c r="FN732" s="1360"/>
      <c r="FO732" s="1358">
        <f t="shared" si="35"/>
        <v>2286.8000000000002</v>
      </c>
      <c r="FP732" s="1359"/>
      <c r="FQ732" s="1359"/>
      <c r="FR732" s="1359"/>
      <c r="FS732" s="1360"/>
      <c r="FT732" s="1358" t="str">
        <f t="shared" si="36"/>
        <v/>
      </c>
      <c r="FU732" s="1359"/>
      <c r="FV732" s="1359"/>
      <c r="FW732" s="1359"/>
      <c r="FX732" s="1360"/>
      <c r="FY732" s="1358" t="str">
        <f t="shared" si="37"/>
        <v/>
      </c>
      <c r="FZ732" s="1359"/>
      <c r="GA732" s="1359"/>
      <c r="GB732" s="1359"/>
      <c r="GC732" s="1360"/>
    </row>
    <row r="733" spans="1:185" ht="12.95" customHeight="1">
      <c r="B733" s="1362" t="s">
        <v>164</v>
      </c>
      <c r="C733" s="1363"/>
      <c r="D733" s="1363"/>
      <c r="E733" s="1363"/>
      <c r="F733" s="1364"/>
      <c r="G733" s="1371">
        <v>13</v>
      </c>
      <c r="H733" s="1372"/>
      <c r="I733" s="1372"/>
      <c r="J733" s="1373"/>
      <c r="K733" s="1489">
        <v>883</v>
      </c>
      <c r="L733" s="1490"/>
      <c r="M733" s="1490"/>
      <c r="N733" s="1491"/>
      <c r="O733" s="1378">
        <f>2756.6-T733</f>
        <v>2680.6</v>
      </c>
      <c r="P733" s="1379"/>
      <c r="Q733" s="1379"/>
      <c r="R733" s="1379"/>
      <c r="S733" s="1380"/>
      <c r="T733" s="1378">
        <f>Y840</f>
        <v>76</v>
      </c>
      <c r="U733" s="1379"/>
      <c r="V733" s="1379"/>
      <c r="W733" s="1380"/>
      <c r="X733" s="1365">
        <f t="shared" si="10"/>
        <v>2756.6</v>
      </c>
      <c r="Y733" s="1366"/>
      <c r="Z733" s="1366"/>
      <c r="AA733" s="1366"/>
      <c r="AB733" s="1367"/>
      <c r="AC733" s="1375">
        <v>0.7</v>
      </c>
      <c r="AD733" s="1376"/>
      <c r="AE733" s="1376"/>
      <c r="AF733" s="1376"/>
      <c r="AG733" s="1377"/>
      <c r="AH733" s="1368">
        <f t="shared" si="38"/>
        <v>0.7</v>
      </c>
      <c r="AI733" s="1369"/>
      <c r="AJ733" s="1370"/>
      <c r="AK733" s="1362" t="s">
        <v>591</v>
      </c>
      <c r="AL733" s="1363"/>
      <c r="AM733" s="1363"/>
      <c r="AN733" s="1363"/>
      <c r="AO733" s="1364"/>
      <c r="AP733" s="3"/>
      <c r="AQ733" s="3"/>
      <c r="AR733" s="3"/>
      <c r="AS733" s="3"/>
      <c r="AY733" s="1080"/>
      <c r="AZ733" s="118">
        <f t="shared" si="11"/>
        <v>3938</v>
      </c>
      <c r="BA733" s="3"/>
      <c r="BB733" s="3"/>
      <c r="BC733" s="3"/>
      <c r="BD733" s="3"/>
      <c r="BE733" s="204"/>
      <c r="BF733" s="294">
        <f t="shared" si="12"/>
        <v>13</v>
      </c>
      <c r="BG733" s="297">
        <f t="shared" si="13"/>
        <v>8.9041095890410954E-2</v>
      </c>
      <c r="BH733" s="298">
        <f t="shared" si="14"/>
        <v>6.2328767123287665E-2</v>
      </c>
      <c r="BI733" s="3"/>
      <c r="BJ733" s="3"/>
      <c r="BK733" s="3"/>
      <c r="BL733" s="3"/>
      <c r="BM733" s="3"/>
      <c r="BN733" s="3"/>
      <c r="BS733" s="294">
        <f t="shared" si="15"/>
        <v>13</v>
      </c>
      <c r="BT733" s="297">
        <f t="shared" si="16"/>
        <v>8.9041095890410954E-2</v>
      </c>
      <c r="BU733" s="298">
        <f t="shared" si="17"/>
        <v>6.2328767123287665E-2</v>
      </c>
      <c r="BV733" s="292"/>
      <c r="BW733" s="3"/>
      <c r="BX733" s="3"/>
      <c r="BY733" s="3"/>
      <c r="BZ733" s="3"/>
      <c r="CA733" s="3"/>
      <c r="CB733" s="3"/>
      <c r="CC733" s="3"/>
      <c r="CE733" s="3"/>
      <c r="CF733" s="3"/>
      <c r="CG733" s="1358">
        <f t="shared" si="39"/>
        <v>0</v>
      </c>
      <c r="CH733" s="1360"/>
      <c r="CI733" s="1342">
        <f t="shared" si="40"/>
        <v>0</v>
      </c>
      <c r="CJ733" s="1344"/>
      <c r="CK733" s="1358">
        <f t="shared" si="18"/>
        <v>0</v>
      </c>
      <c r="CL733" s="1360"/>
      <c r="CM733" s="1342">
        <f t="shared" si="19"/>
        <v>0</v>
      </c>
      <c r="CN733" s="1344"/>
      <c r="CO733" s="3"/>
      <c r="CP733" s="1339">
        <f t="shared" si="20"/>
        <v>0</v>
      </c>
      <c r="CQ733" s="1340"/>
      <c r="CR733" s="1340"/>
      <c r="CS733" s="1340"/>
      <c r="CT733" s="1341"/>
      <c r="CU733" s="1361">
        <f t="shared" si="21"/>
        <v>0</v>
      </c>
      <c r="CV733" s="1361"/>
      <c r="CW733" s="1361"/>
      <c r="CX733" s="1361"/>
      <c r="CY733" s="1361"/>
      <c r="CZ733" s="1361">
        <f t="shared" si="22"/>
        <v>0</v>
      </c>
      <c r="DA733" s="1361"/>
      <c r="DB733" s="1361"/>
      <c r="DC733" s="1361"/>
      <c r="DD733" s="1361"/>
      <c r="DE733" s="1361">
        <f t="shared" si="23"/>
        <v>13</v>
      </c>
      <c r="DF733" s="1361"/>
      <c r="DG733" s="1361"/>
      <c r="DH733" s="1361"/>
      <c r="DI733" s="1361"/>
      <c r="DJ733" s="1361">
        <f t="shared" si="24"/>
        <v>0</v>
      </c>
      <c r="DK733" s="1361"/>
      <c r="DL733" s="1361"/>
      <c r="DM733" s="1361"/>
      <c r="DN733" s="1361"/>
      <c r="DO733" s="1361">
        <f t="shared" si="25"/>
        <v>0</v>
      </c>
      <c r="DP733" s="1361"/>
      <c r="DQ733" s="1361"/>
      <c r="DR733" s="1361"/>
      <c r="DS733" s="1361"/>
      <c r="DT733" s="6"/>
      <c r="DU733" s="1382">
        <f t="shared" si="26"/>
        <v>0</v>
      </c>
      <c r="DV733" s="1382"/>
      <c r="DW733" s="1382"/>
      <c r="DX733" s="1382"/>
      <c r="DY733" s="1382"/>
      <c r="DZ733" s="1382">
        <f t="shared" si="27"/>
        <v>0</v>
      </c>
      <c r="EA733" s="1382"/>
      <c r="EB733" s="1382"/>
      <c r="EC733" s="1382"/>
      <c r="ED733" s="1382"/>
      <c r="EE733" s="1382">
        <f t="shared" si="28"/>
        <v>0</v>
      </c>
      <c r="EF733" s="1382"/>
      <c r="EG733" s="1382"/>
      <c r="EH733" s="1382"/>
      <c r="EI733" s="1382"/>
      <c r="EJ733" s="1382">
        <f t="shared" si="29"/>
        <v>0</v>
      </c>
      <c r="EK733" s="1382"/>
      <c r="EL733" s="1382"/>
      <c r="EM733" s="1382"/>
      <c r="EN733" s="1382"/>
      <c r="EO733" s="1382">
        <f t="shared" si="30"/>
        <v>0</v>
      </c>
      <c r="EP733" s="1382"/>
      <c r="EQ733" s="1382"/>
      <c r="ER733" s="1382"/>
      <c r="ES733" s="1382"/>
      <c r="ET733" s="1382">
        <f t="shared" si="31"/>
        <v>0</v>
      </c>
      <c r="EU733" s="1382"/>
      <c r="EV733" s="1382"/>
      <c r="EW733" s="1382"/>
      <c r="EX733" s="1382"/>
      <c r="EZ733" s="1358" t="str">
        <f t="shared" si="32"/>
        <v/>
      </c>
      <c r="FA733" s="1359"/>
      <c r="FB733" s="1359"/>
      <c r="FC733" s="1359"/>
      <c r="FD733" s="1360"/>
      <c r="FE733" s="1358" t="str">
        <f t="shared" si="33"/>
        <v/>
      </c>
      <c r="FF733" s="1359"/>
      <c r="FG733" s="1359"/>
      <c r="FH733" s="1359"/>
      <c r="FI733" s="1360"/>
      <c r="FJ733" s="1358" t="str">
        <f t="shared" si="34"/>
        <v/>
      </c>
      <c r="FK733" s="1359"/>
      <c r="FL733" s="1359"/>
      <c r="FM733" s="1359"/>
      <c r="FN733" s="1360"/>
      <c r="FO733" s="1358">
        <f t="shared" si="35"/>
        <v>2680.6</v>
      </c>
      <c r="FP733" s="1359"/>
      <c r="FQ733" s="1359"/>
      <c r="FR733" s="1359"/>
      <c r="FS733" s="1360"/>
      <c r="FT733" s="1358" t="str">
        <f t="shared" si="36"/>
        <v/>
      </c>
      <c r="FU733" s="1359"/>
      <c r="FV733" s="1359"/>
      <c r="FW733" s="1359"/>
      <c r="FX733" s="1360"/>
      <c r="FY733" s="1358" t="str">
        <f t="shared" si="37"/>
        <v/>
      </c>
      <c r="FZ733" s="1359"/>
      <c r="GA733" s="1359"/>
      <c r="GB733" s="1359"/>
      <c r="GC733" s="1360"/>
    </row>
    <row r="734" spans="1:185" ht="12.95" customHeight="1">
      <c r="B734" s="1362"/>
      <c r="C734" s="1363"/>
      <c r="D734" s="1363"/>
      <c r="E734" s="1363"/>
      <c r="F734" s="1364"/>
      <c r="G734" s="1371"/>
      <c r="H734" s="1372"/>
      <c r="I734" s="1372"/>
      <c r="J734" s="1373"/>
      <c r="K734" s="1489"/>
      <c r="L734" s="1490"/>
      <c r="M734" s="1490"/>
      <c r="N734" s="1491"/>
      <c r="O734" s="1378"/>
      <c r="P734" s="1379"/>
      <c r="Q734" s="1379"/>
      <c r="R734" s="1379"/>
      <c r="S734" s="1380"/>
      <c r="T734" s="1378"/>
      <c r="U734" s="1379"/>
      <c r="V734" s="1379"/>
      <c r="W734" s="1380"/>
      <c r="X734" s="1365">
        <f t="shared" si="10"/>
        <v>0</v>
      </c>
      <c r="Y734" s="1366"/>
      <c r="Z734" s="1366"/>
      <c r="AA734" s="1366"/>
      <c r="AB734" s="1367"/>
      <c r="AC734" s="1375"/>
      <c r="AD734" s="1376"/>
      <c r="AE734" s="1376"/>
      <c r="AF734" s="1376"/>
      <c r="AG734" s="1377"/>
      <c r="AH734" s="1368" t="str">
        <f t="shared" si="38"/>
        <v/>
      </c>
      <c r="AI734" s="1369"/>
      <c r="AJ734" s="1370"/>
      <c r="AK734" s="1362" t="s">
        <v>591</v>
      </c>
      <c r="AL734" s="1363"/>
      <c r="AM734" s="1363"/>
      <c r="AN734" s="1363"/>
      <c r="AO734" s="1364"/>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58">
        <f t="shared" si="39"/>
        <v>0</v>
      </c>
      <c r="CH734" s="1360"/>
      <c r="CI734" s="1342">
        <f t="shared" si="40"/>
        <v>0</v>
      </c>
      <c r="CJ734" s="1344"/>
      <c r="CK734" s="1358">
        <f t="shared" si="18"/>
        <v>0</v>
      </c>
      <c r="CL734" s="1360"/>
      <c r="CM734" s="1342">
        <f t="shared" si="19"/>
        <v>0</v>
      </c>
      <c r="CN734" s="1344"/>
      <c r="CO734" s="3"/>
      <c r="CP734" s="1339">
        <f t="shared" si="20"/>
        <v>0</v>
      </c>
      <c r="CQ734" s="1340"/>
      <c r="CR734" s="1340"/>
      <c r="CS734" s="1340"/>
      <c r="CT734" s="1341"/>
      <c r="CU734" s="1361">
        <f t="shared" si="21"/>
        <v>0</v>
      </c>
      <c r="CV734" s="1361"/>
      <c r="CW734" s="1361"/>
      <c r="CX734" s="1361"/>
      <c r="CY734" s="1361"/>
      <c r="CZ734" s="1361">
        <f t="shared" si="22"/>
        <v>0</v>
      </c>
      <c r="DA734" s="1361"/>
      <c r="DB734" s="1361"/>
      <c r="DC734" s="1361"/>
      <c r="DD734" s="1361"/>
      <c r="DE734" s="1361">
        <f t="shared" si="23"/>
        <v>0</v>
      </c>
      <c r="DF734" s="1361"/>
      <c r="DG734" s="1361"/>
      <c r="DH734" s="1361"/>
      <c r="DI734" s="1361"/>
      <c r="DJ734" s="1361">
        <f t="shared" si="24"/>
        <v>0</v>
      </c>
      <c r="DK734" s="1361"/>
      <c r="DL734" s="1361"/>
      <c r="DM734" s="1361"/>
      <c r="DN734" s="1361"/>
      <c r="DO734" s="1361">
        <f t="shared" si="25"/>
        <v>0</v>
      </c>
      <c r="DP734" s="1361"/>
      <c r="DQ734" s="1361"/>
      <c r="DR734" s="1361"/>
      <c r="DS734" s="1361"/>
      <c r="DT734" s="6"/>
      <c r="DU734" s="1382">
        <f t="shared" si="26"/>
        <v>0</v>
      </c>
      <c r="DV734" s="1382"/>
      <c r="DW734" s="1382"/>
      <c r="DX734" s="1382"/>
      <c r="DY734" s="1382"/>
      <c r="DZ734" s="1382">
        <f t="shared" si="27"/>
        <v>0</v>
      </c>
      <c r="EA734" s="1382"/>
      <c r="EB734" s="1382"/>
      <c r="EC734" s="1382"/>
      <c r="ED734" s="1382"/>
      <c r="EE734" s="1382">
        <f t="shared" si="28"/>
        <v>0</v>
      </c>
      <c r="EF734" s="1382"/>
      <c r="EG734" s="1382"/>
      <c r="EH734" s="1382"/>
      <c r="EI734" s="1382"/>
      <c r="EJ734" s="1382">
        <f t="shared" si="29"/>
        <v>0</v>
      </c>
      <c r="EK734" s="1382"/>
      <c r="EL734" s="1382"/>
      <c r="EM734" s="1382"/>
      <c r="EN734" s="1382"/>
      <c r="EO734" s="1382">
        <f t="shared" si="30"/>
        <v>0</v>
      </c>
      <c r="EP734" s="1382"/>
      <c r="EQ734" s="1382"/>
      <c r="ER734" s="1382"/>
      <c r="ES734" s="1382"/>
      <c r="ET734" s="1382">
        <f t="shared" si="31"/>
        <v>0</v>
      </c>
      <c r="EU734" s="1382"/>
      <c r="EV734" s="1382"/>
      <c r="EW734" s="1382"/>
      <c r="EX734" s="1382"/>
      <c r="EY734" s="4"/>
      <c r="EZ734" s="1358" t="str">
        <f t="shared" si="32"/>
        <v/>
      </c>
      <c r="FA734" s="1359"/>
      <c r="FB734" s="1359"/>
      <c r="FC734" s="1359"/>
      <c r="FD734" s="1360"/>
      <c r="FE734" s="1358" t="str">
        <f t="shared" si="33"/>
        <v/>
      </c>
      <c r="FF734" s="1359"/>
      <c r="FG734" s="1359"/>
      <c r="FH734" s="1359"/>
      <c r="FI734" s="1360"/>
      <c r="FJ734" s="1358" t="str">
        <f t="shared" si="34"/>
        <v/>
      </c>
      <c r="FK734" s="1359"/>
      <c r="FL734" s="1359"/>
      <c r="FM734" s="1359"/>
      <c r="FN734" s="1360"/>
      <c r="FO734" s="1358" t="str">
        <f t="shared" si="35"/>
        <v/>
      </c>
      <c r="FP734" s="1359"/>
      <c r="FQ734" s="1359"/>
      <c r="FR734" s="1359"/>
      <c r="FS734" s="1360"/>
      <c r="FT734" s="1358" t="str">
        <f t="shared" si="36"/>
        <v/>
      </c>
      <c r="FU734" s="1359"/>
      <c r="FV734" s="1359"/>
      <c r="FW734" s="1359"/>
      <c r="FX734" s="1360"/>
      <c r="FY734" s="1358" t="str">
        <f t="shared" si="37"/>
        <v/>
      </c>
      <c r="FZ734" s="1359"/>
      <c r="GA734" s="1359"/>
      <c r="GB734" s="1359"/>
      <c r="GC734" s="1360"/>
    </row>
    <row r="735" spans="1:185" ht="12.95" customHeight="1">
      <c r="A735" s="4"/>
      <c r="B735" s="1362"/>
      <c r="C735" s="1363"/>
      <c r="D735" s="1363"/>
      <c r="E735" s="1363"/>
      <c r="F735" s="1364"/>
      <c r="G735" s="1371"/>
      <c r="H735" s="1372"/>
      <c r="I735" s="1372"/>
      <c r="J735" s="1373"/>
      <c r="K735" s="1489"/>
      <c r="L735" s="1490"/>
      <c r="M735" s="1490"/>
      <c r="N735" s="1491"/>
      <c r="O735" s="1378"/>
      <c r="P735" s="1379"/>
      <c r="Q735" s="1379"/>
      <c r="R735" s="1379"/>
      <c r="S735" s="1380"/>
      <c r="T735" s="1378"/>
      <c r="U735" s="1379"/>
      <c r="V735" s="1379"/>
      <c r="W735" s="1380"/>
      <c r="X735" s="1365">
        <f t="shared" si="10"/>
        <v>0</v>
      </c>
      <c r="Y735" s="1366"/>
      <c r="Z735" s="1366"/>
      <c r="AA735" s="1366"/>
      <c r="AB735" s="1367"/>
      <c r="AC735" s="1375"/>
      <c r="AD735" s="1376"/>
      <c r="AE735" s="1376"/>
      <c r="AF735" s="1376"/>
      <c r="AG735" s="1377"/>
      <c r="AH735" s="1368" t="str">
        <f t="shared" si="38"/>
        <v/>
      </c>
      <c r="AI735" s="1369"/>
      <c r="AJ735" s="1370"/>
      <c r="AK735" s="1362" t="s">
        <v>591</v>
      </c>
      <c r="AL735" s="1363"/>
      <c r="AM735" s="1363"/>
      <c r="AN735" s="1363"/>
      <c r="AO735" s="1364"/>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58">
        <f t="shared" si="39"/>
        <v>0</v>
      </c>
      <c r="CH735" s="1360"/>
      <c r="CI735" s="1342">
        <f t="shared" si="40"/>
        <v>0</v>
      </c>
      <c r="CJ735" s="1344"/>
      <c r="CK735" s="1358">
        <f t="shared" si="18"/>
        <v>0</v>
      </c>
      <c r="CL735" s="1360"/>
      <c r="CM735" s="1342">
        <f t="shared" si="19"/>
        <v>0</v>
      </c>
      <c r="CN735" s="1344"/>
      <c r="CO735" s="3"/>
      <c r="CP735" s="1339">
        <f t="shared" si="20"/>
        <v>0</v>
      </c>
      <c r="CQ735" s="1340"/>
      <c r="CR735" s="1340"/>
      <c r="CS735" s="1340"/>
      <c r="CT735" s="1341"/>
      <c r="CU735" s="1361">
        <f t="shared" si="21"/>
        <v>0</v>
      </c>
      <c r="CV735" s="1361"/>
      <c r="CW735" s="1361"/>
      <c r="CX735" s="1361"/>
      <c r="CY735" s="1361"/>
      <c r="CZ735" s="1361">
        <f t="shared" si="22"/>
        <v>0</v>
      </c>
      <c r="DA735" s="1361"/>
      <c r="DB735" s="1361"/>
      <c r="DC735" s="1361"/>
      <c r="DD735" s="1361"/>
      <c r="DE735" s="1361">
        <f t="shared" si="23"/>
        <v>0</v>
      </c>
      <c r="DF735" s="1361"/>
      <c r="DG735" s="1361"/>
      <c r="DH735" s="1361"/>
      <c r="DI735" s="1361"/>
      <c r="DJ735" s="1361">
        <f t="shared" si="24"/>
        <v>0</v>
      </c>
      <c r="DK735" s="1361"/>
      <c r="DL735" s="1361"/>
      <c r="DM735" s="1361"/>
      <c r="DN735" s="1361"/>
      <c r="DO735" s="1361">
        <f t="shared" si="25"/>
        <v>0</v>
      </c>
      <c r="DP735" s="1361"/>
      <c r="DQ735" s="1361"/>
      <c r="DR735" s="1361"/>
      <c r="DS735" s="1361"/>
      <c r="DT735" s="6"/>
      <c r="DU735" s="1382">
        <f t="shared" si="26"/>
        <v>0</v>
      </c>
      <c r="DV735" s="1382"/>
      <c r="DW735" s="1382"/>
      <c r="DX735" s="1382"/>
      <c r="DY735" s="1382"/>
      <c r="DZ735" s="1382">
        <f t="shared" si="27"/>
        <v>0</v>
      </c>
      <c r="EA735" s="1382"/>
      <c r="EB735" s="1382"/>
      <c r="EC735" s="1382"/>
      <c r="ED735" s="1382"/>
      <c r="EE735" s="1382">
        <f t="shared" si="28"/>
        <v>0</v>
      </c>
      <c r="EF735" s="1382"/>
      <c r="EG735" s="1382"/>
      <c r="EH735" s="1382"/>
      <c r="EI735" s="1382"/>
      <c r="EJ735" s="1382">
        <f t="shared" si="29"/>
        <v>0</v>
      </c>
      <c r="EK735" s="1382"/>
      <c r="EL735" s="1382"/>
      <c r="EM735" s="1382"/>
      <c r="EN735" s="1382"/>
      <c r="EO735" s="1382">
        <f t="shared" si="30"/>
        <v>0</v>
      </c>
      <c r="EP735" s="1382"/>
      <c r="EQ735" s="1382"/>
      <c r="ER735" s="1382"/>
      <c r="ES735" s="1382"/>
      <c r="ET735" s="1382">
        <f t="shared" si="31"/>
        <v>0</v>
      </c>
      <c r="EU735" s="1382"/>
      <c r="EV735" s="1382"/>
      <c r="EW735" s="1382"/>
      <c r="EX735" s="1382"/>
      <c r="EY735" s="4"/>
      <c r="EZ735" s="1358" t="str">
        <f t="shared" si="32"/>
        <v/>
      </c>
      <c r="FA735" s="1359"/>
      <c r="FB735" s="1359"/>
      <c r="FC735" s="1359"/>
      <c r="FD735" s="1360"/>
      <c r="FE735" s="1358" t="str">
        <f t="shared" si="33"/>
        <v/>
      </c>
      <c r="FF735" s="1359"/>
      <c r="FG735" s="1359"/>
      <c r="FH735" s="1359"/>
      <c r="FI735" s="1360"/>
      <c r="FJ735" s="1358" t="str">
        <f t="shared" si="34"/>
        <v/>
      </c>
      <c r="FK735" s="1359"/>
      <c r="FL735" s="1359"/>
      <c r="FM735" s="1359"/>
      <c r="FN735" s="1360"/>
      <c r="FO735" s="1358" t="str">
        <f t="shared" si="35"/>
        <v/>
      </c>
      <c r="FP735" s="1359"/>
      <c r="FQ735" s="1359"/>
      <c r="FR735" s="1359"/>
      <c r="FS735" s="1360"/>
      <c r="FT735" s="1358" t="str">
        <f t="shared" si="36"/>
        <v/>
      </c>
      <c r="FU735" s="1359"/>
      <c r="FV735" s="1359"/>
      <c r="FW735" s="1359"/>
      <c r="FX735" s="1360"/>
      <c r="FY735" s="1358" t="str">
        <f t="shared" si="37"/>
        <v/>
      </c>
      <c r="FZ735" s="1359"/>
      <c r="GA735" s="1359"/>
      <c r="GB735" s="1359"/>
      <c r="GC735" s="1360"/>
    </row>
    <row r="736" spans="1:185" ht="12.95" customHeight="1">
      <c r="A736" s="4"/>
      <c r="B736" s="1362"/>
      <c r="C736" s="1363"/>
      <c r="D736" s="1363"/>
      <c r="E736" s="1363"/>
      <c r="F736" s="1364"/>
      <c r="G736" s="1371"/>
      <c r="H736" s="1372"/>
      <c r="I736" s="1372"/>
      <c r="J736" s="1373"/>
      <c r="K736" s="1489"/>
      <c r="L736" s="1490"/>
      <c r="M736" s="1490"/>
      <c r="N736" s="1491"/>
      <c r="O736" s="1378"/>
      <c r="P736" s="1379"/>
      <c r="Q736" s="1379"/>
      <c r="R736" s="1379"/>
      <c r="S736" s="1380"/>
      <c r="T736" s="1378"/>
      <c r="U736" s="1379"/>
      <c r="V736" s="1379"/>
      <c r="W736" s="1380"/>
      <c r="X736" s="1365">
        <f t="shared" si="10"/>
        <v>0</v>
      </c>
      <c r="Y736" s="1366"/>
      <c r="Z736" s="1366"/>
      <c r="AA736" s="1366"/>
      <c r="AB736" s="1367"/>
      <c r="AC736" s="1375"/>
      <c r="AD736" s="1376"/>
      <c r="AE736" s="1376"/>
      <c r="AF736" s="1376"/>
      <c r="AG736" s="1377"/>
      <c r="AH736" s="1368" t="str">
        <f t="shared" si="38"/>
        <v/>
      </c>
      <c r="AI736" s="1369"/>
      <c r="AJ736" s="1370"/>
      <c r="AK736" s="1362" t="s">
        <v>591</v>
      </c>
      <c r="AL736" s="1363"/>
      <c r="AM736" s="1363"/>
      <c r="AN736" s="1363"/>
      <c r="AO736" s="1364"/>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8">
        <f t="shared" si="39"/>
        <v>0</v>
      </c>
      <c r="CH736" s="1360"/>
      <c r="CI736" s="1342">
        <f t="shared" si="40"/>
        <v>0</v>
      </c>
      <c r="CJ736" s="1344"/>
      <c r="CK736" s="1358">
        <f t="shared" si="18"/>
        <v>0</v>
      </c>
      <c r="CL736" s="1360"/>
      <c r="CM736" s="1342">
        <f t="shared" si="19"/>
        <v>0</v>
      </c>
      <c r="CN736" s="1344"/>
      <c r="CO736" s="3"/>
      <c r="CP736" s="1339">
        <f t="shared" si="20"/>
        <v>0</v>
      </c>
      <c r="CQ736" s="1340"/>
      <c r="CR736" s="1340"/>
      <c r="CS736" s="1340"/>
      <c r="CT736" s="1341"/>
      <c r="CU736" s="1361">
        <f t="shared" si="21"/>
        <v>0</v>
      </c>
      <c r="CV736" s="1361"/>
      <c r="CW736" s="1361"/>
      <c r="CX736" s="1361"/>
      <c r="CY736" s="1361"/>
      <c r="CZ736" s="1361">
        <f t="shared" si="22"/>
        <v>0</v>
      </c>
      <c r="DA736" s="1361"/>
      <c r="DB736" s="1361"/>
      <c r="DC736" s="1361"/>
      <c r="DD736" s="1361"/>
      <c r="DE736" s="1361">
        <f t="shared" si="23"/>
        <v>0</v>
      </c>
      <c r="DF736" s="1361"/>
      <c r="DG736" s="1361"/>
      <c r="DH736" s="1361"/>
      <c r="DI736" s="1361"/>
      <c r="DJ736" s="1361">
        <f t="shared" si="24"/>
        <v>0</v>
      </c>
      <c r="DK736" s="1361"/>
      <c r="DL736" s="1361"/>
      <c r="DM736" s="1361"/>
      <c r="DN736" s="1361"/>
      <c r="DO736" s="1361">
        <f t="shared" si="25"/>
        <v>0</v>
      </c>
      <c r="DP736" s="1361"/>
      <c r="DQ736" s="1361"/>
      <c r="DR736" s="1361"/>
      <c r="DS736" s="1361"/>
      <c r="DT736" s="6"/>
      <c r="DU736" s="1382">
        <f t="shared" si="26"/>
        <v>0</v>
      </c>
      <c r="DV736" s="1382"/>
      <c r="DW736" s="1382"/>
      <c r="DX736" s="1382"/>
      <c r="DY736" s="1382"/>
      <c r="DZ736" s="1382">
        <f t="shared" si="27"/>
        <v>0</v>
      </c>
      <c r="EA736" s="1382"/>
      <c r="EB736" s="1382"/>
      <c r="EC736" s="1382"/>
      <c r="ED736" s="1382"/>
      <c r="EE736" s="1382">
        <f t="shared" si="28"/>
        <v>0</v>
      </c>
      <c r="EF736" s="1382"/>
      <c r="EG736" s="1382"/>
      <c r="EH736" s="1382"/>
      <c r="EI736" s="1382"/>
      <c r="EJ736" s="1382">
        <f t="shared" si="29"/>
        <v>0</v>
      </c>
      <c r="EK736" s="1382"/>
      <c r="EL736" s="1382"/>
      <c r="EM736" s="1382"/>
      <c r="EN736" s="1382"/>
      <c r="EO736" s="1382">
        <f t="shared" si="30"/>
        <v>0</v>
      </c>
      <c r="EP736" s="1382"/>
      <c r="EQ736" s="1382"/>
      <c r="ER736" s="1382"/>
      <c r="ES736" s="1382"/>
      <c r="ET736" s="1382">
        <f t="shared" si="31"/>
        <v>0</v>
      </c>
      <c r="EU736" s="1382"/>
      <c r="EV736" s="1382"/>
      <c r="EW736" s="1382"/>
      <c r="EX736" s="1382"/>
      <c r="EY736" s="4"/>
      <c r="EZ736" s="1358" t="str">
        <f t="shared" si="32"/>
        <v/>
      </c>
      <c r="FA736" s="1359"/>
      <c r="FB736" s="1359"/>
      <c r="FC736" s="1359"/>
      <c r="FD736" s="1360"/>
      <c r="FE736" s="1358" t="str">
        <f t="shared" si="33"/>
        <v/>
      </c>
      <c r="FF736" s="1359"/>
      <c r="FG736" s="1359"/>
      <c r="FH736" s="1359"/>
      <c r="FI736" s="1360"/>
      <c r="FJ736" s="1358" t="str">
        <f t="shared" si="34"/>
        <v/>
      </c>
      <c r="FK736" s="1359"/>
      <c r="FL736" s="1359"/>
      <c r="FM736" s="1359"/>
      <c r="FN736" s="1360"/>
      <c r="FO736" s="1358" t="str">
        <f t="shared" si="35"/>
        <v/>
      </c>
      <c r="FP736" s="1359"/>
      <c r="FQ736" s="1359"/>
      <c r="FR736" s="1359"/>
      <c r="FS736" s="1360"/>
      <c r="FT736" s="1358" t="str">
        <f t="shared" si="36"/>
        <v/>
      </c>
      <c r="FU736" s="1359"/>
      <c r="FV736" s="1359"/>
      <c r="FW736" s="1359"/>
      <c r="FX736" s="1360"/>
      <c r="FY736" s="1358" t="str">
        <f t="shared" si="37"/>
        <v/>
      </c>
      <c r="FZ736" s="1359"/>
      <c r="GA736" s="1359"/>
      <c r="GB736" s="1359"/>
      <c r="GC736" s="1360"/>
    </row>
    <row r="737" spans="1:185" ht="12.95" customHeight="1">
      <c r="A737" s="4"/>
      <c r="B737" s="1362"/>
      <c r="C737" s="1363"/>
      <c r="D737" s="1363"/>
      <c r="E737" s="1363"/>
      <c r="F737" s="1364"/>
      <c r="G737" s="1371"/>
      <c r="H737" s="1372"/>
      <c r="I737" s="1372"/>
      <c r="J737" s="1373"/>
      <c r="K737" s="1489"/>
      <c r="L737" s="1490"/>
      <c r="M737" s="1490"/>
      <c r="N737" s="1491"/>
      <c r="O737" s="1378"/>
      <c r="P737" s="1379"/>
      <c r="Q737" s="1379"/>
      <c r="R737" s="1379"/>
      <c r="S737" s="1380"/>
      <c r="T737" s="1378"/>
      <c r="U737" s="1379"/>
      <c r="V737" s="1379"/>
      <c r="W737" s="1380"/>
      <c r="X737" s="1365">
        <f t="shared" si="10"/>
        <v>0</v>
      </c>
      <c r="Y737" s="1366"/>
      <c r="Z737" s="1366"/>
      <c r="AA737" s="1366"/>
      <c r="AB737" s="1367"/>
      <c r="AC737" s="1375"/>
      <c r="AD737" s="1376"/>
      <c r="AE737" s="1376"/>
      <c r="AF737" s="1376"/>
      <c r="AG737" s="1377"/>
      <c r="AH737" s="1368" t="str">
        <f t="shared" si="38"/>
        <v/>
      </c>
      <c r="AI737" s="1369"/>
      <c r="AJ737" s="1370"/>
      <c r="AK737" s="1362" t="s">
        <v>591</v>
      </c>
      <c r="AL737" s="1363"/>
      <c r="AM737" s="1363"/>
      <c r="AN737" s="1363"/>
      <c r="AO737" s="1364"/>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8">
        <f t="shared" si="39"/>
        <v>0</v>
      </c>
      <c r="CH737" s="1360"/>
      <c r="CI737" s="1342">
        <f t="shared" si="40"/>
        <v>0</v>
      </c>
      <c r="CJ737" s="1344"/>
      <c r="CK737" s="1358">
        <f t="shared" si="18"/>
        <v>0</v>
      </c>
      <c r="CL737" s="1360"/>
      <c r="CM737" s="1342">
        <f t="shared" si="19"/>
        <v>0</v>
      </c>
      <c r="CN737" s="1344"/>
      <c r="CO737" s="3"/>
      <c r="CP737" s="1339">
        <f t="shared" si="20"/>
        <v>0</v>
      </c>
      <c r="CQ737" s="1340"/>
      <c r="CR737" s="1340"/>
      <c r="CS737" s="1340"/>
      <c r="CT737" s="1341"/>
      <c r="CU737" s="1361">
        <f t="shared" si="21"/>
        <v>0</v>
      </c>
      <c r="CV737" s="1361"/>
      <c r="CW737" s="1361"/>
      <c r="CX737" s="1361"/>
      <c r="CY737" s="1361"/>
      <c r="CZ737" s="1361">
        <f t="shared" si="22"/>
        <v>0</v>
      </c>
      <c r="DA737" s="1361"/>
      <c r="DB737" s="1361"/>
      <c r="DC737" s="1361"/>
      <c r="DD737" s="1361"/>
      <c r="DE737" s="1361">
        <f t="shared" si="23"/>
        <v>0</v>
      </c>
      <c r="DF737" s="1361"/>
      <c r="DG737" s="1361"/>
      <c r="DH737" s="1361"/>
      <c r="DI737" s="1361"/>
      <c r="DJ737" s="1361">
        <f t="shared" si="24"/>
        <v>0</v>
      </c>
      <c r="DK737" s="1361"/>
      <c r="DL737" s="1361"/>
      <c r="DM737" s="1361"/>
      <c r="DN737" s="1361"/>
      <c r="DO737" s="1361">
        <f t="shared" si="25"/>
        <v>0</v>
      </c>
      <c r="DP737" s="1361"/>
      <c r="DQ737" s="1361"/>
      <c r="DR737" s="1361"/>
      <c r="DS737" s="1361"/>
      <c r="DT737" s="6"/>
      <c r="DU737" s="1382">
        <f t="shared" si="26"/>
        <v>0</v>
      </c>
      <c r="DV737" s="1382"/>
      <c r="DW737" s="1382"/>
      <c r="DX737" s="1382"/>
      <c r="DY737" s="1382"/>
      <c r="DZ737" s="1382">
        <f t="shared" si="27"/>
        <v>0</v>
      </c>
      <c r="EA737" s="1382"/>
      <c r="EB737" s="1382"/>
      <c r="EC737" s="1382"/>
      <c r="ED737" s="1382"/>
      <c r="EE737" s="1382">
        <f t="shared" si="28"/>
        <v>0</v>
      </c>
      <c r="EF737" s="1382"/>
      <c r="EG737" s="1382"/>
      <c r="EH737" s="1382"/>
      <c r="EI737" s="1382"/>
      <c r="EJ737" s="1382">
        <f t="shared" si="29"/>
        <v>0</v>
      </c>
      <c r="EK737" s="1382"/>
      <c r="EL737" s="1382"/>
      <c r="EM737" s="1382"/>
      <c r="EN737" s="1382"/>
      <c r="EO737" s="1382">
        <f t="shared" si="30"/>
        <v>0</v>
      </c>
      <c r="EP737" s="1382"/>
      <c r="EQ737" s="1382"/>
      <c r="ER737" s="1382"/>
      <c r="ES737" s="1382"/>
      <c r="ET737" s="1382">
        <f t="shared" si="31"/>
        <v>0</v>
      </c>
      <c r="EU737" s="1382"/>
      <c r="EV737" s="1382"/>
      <c r="EW737" s="1382"/>
      <c r="EX737" s="1382"/>
      <c r="EZ737" s="1358" t="str">
        <f t="shared" si="32"/>
        <v/>
      </c>
      <c r="FA737" s="1359"/>
      <c r="FB737" s="1359"/>
      <c r="FC737" s="1359"/>
      <c r="FD737" s="1360"/>
      <c r="FE737" s="1358" t="str">
        <f t="shared" si="33"/>
        <v/>
      </c>
      <c r="FF737" s="1359"/>
      <c r="FG737" s="1359"/>
      <c r="FH737" s="1359"/>
      <c r="FI737" s="1360"/>
      <c r="FJ737" s="1358" t="str">
        <f t="shared" si="34"/>
        <v/>
      </c>
      <c r="FK737" s="1359"/>
      <c r="FL737" s="1359"/>
      <c r="FM737" s="1359"/>
      <c r="FN737" s="1360"/>
      <c r="FO737" s="1358" t="str">
        <f t="shared" si="35"/>
        <v/>
      </c>
      <c r="FP737" s="1359"/>
      <c r="FQ737" s="1359"/>
      <c r="FR737" s="1359"/>
      <c r="FS737" s="1360"/>
      <c r="FT737" s="1358" t="str">
        <f t="shared" si="36"/>
        <v/>
      </c>
      <c r="FU737" s="1359"/>
      <c r="FV737" s="1359"/>
      <c r="FW737" s="1359"/>
      <c r="FX737" s="1360"/>
      <c r="FY737" s="1358" t="str">
        <f t="shared" si="37"/>
        <v/>
      </c>
      <c r="FZ737" s="1359"/>
      <c r="GA737" s="1359"/>
      <c r="GB737" s="1359"/>
      <c r="GC737" s="1360"/>
    </row>
    <row r="738" spans="1:185" ht="12.95" customHeight="1">
      <c r="B738" s="1362"/>
      <c r="C738" s="1363"/>
      <c r="D738" s="1363"/>
      <c r="E738" s="1363"/>
      <c r="F738" s="1364"/>
      <c r="G738" s="1371"/>
      <c r="H738" s="1372"/>
      <c r="I738" s="1372"/>
      <c r="J738" s="1373"/>
      <c r="K738" s="1489"/>
      <c r="L738" s="1490"/>
      <c r="M738" s="1490"/>
      <c r="N738" s="1491"/>
      <c r="O738" s="1378"/>
      <c r="P738" s="1379"/>
      <c r="Q738" s="1379"/>
      <c r="R738" s="1379"/>
      <c r="S738" s="1380"/>
      <c r="T738" s="1378"/>
      <c r="U738" s="1379"/>
      <c r="V738" s="1379"/>
      <c r="W738" s="1380"/>
      <c r="X738" s="1365">
        <f t="shared" si="10"/>
        <v>0</v>
      </c>
      <c r="Y738" s="1366"/>
      <c r="Z738" s="1366"/>
      <c r="AA738" s="1366"/>
      <c r="AB738" s="1367"/>
      <c r="AC738" s="1375"/>
      <c r="AD738" s="1376"/>
      <c r="AE738" s="1376"/>
      <c r="AF738" s="1376"/>
      <c r="AG738" s="1377"/>
      <c r="AH738" s="1368" t="str">
        <f t="shared" si="38"/>
        <v/>
      </c>
      <c r="AI738" s="1369"/>
      <c r="AJ738" s="1370"/>
      <c r="AK738" s="1362" t="s">
        <v>591</v>
      </c>
      <c r="AL738" s="1363"/>
      <c r="AM738" s="1363"/>
      <c r="AN738" s="1363"/>
      <c r="AO738" s="136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8">
        <f t="shared" si="39"/>
        <v>0</v>
      </c>
      <c r="CH738" s="1360"/>
      <c r="CI738" s="1342">
        <f t="shared" si="40"/>
        <v>0</v>
      </c>
      <c r="CJ738" s="1344"/>
      <c r="CK738" s="1358">
        <f t="shared" si="18"/>
        <v>0</v>
      </c>
      <c r="CL738" s="1360"/>
      <c r="CM738" s="1342">
        <f t="shared" si="19"/>
        <v>0</v>
      </c>
      <c r="CN738" s="1344"/>
      <c r="CO738" s="3"/>
      <c r="CP738" s="1339">
        <f t="shared" si="20"/>
        <v>0</v>
      </c>
      <c r="CQ738" s="1340"/>
      <c r="CR738" s="1340"/>
      <c r="CS738" s="1340"/>
      <c r="CT738" s="1341"/>
      <c r="CU738" s="1361">
        <f t="shared" si="21"/>
        <v>0</v>
      </c>
      <c r="CV738" s="1361"/>
      <c r="CW738" s="1361"/>
      <c r="CX738" s="1361"/>
      <c r="CY738" s="1361"/>
      <c r="CZ738" s="1361">
        <f t="shared" si="22"/>
        <v>0</v>
      </c>
      <c r="DA738" s="1361"/>
      <c r="DB738" s="1361"/>
      <c r="DC738" s="1361"/>
      <c r="DD738" s="1361"/>
      <c r="DE738" s="1361">
        <f t="shared" si="23"/>
        <v>0</v>
      </c>
      <c r="DF738" s="1361"/>
      <c r="DG738" s="1361"/>
      <c r="DH738" s="1361"/>
      <c r="DI738" s="1361"/>
      <c r="DJ738" s="1361">
        <f t="shared" si="24"/>
        <v>0</v>
      </c>
      <c r="DK738" s="1361"/>
      <c r="DL738" s="1361"/>
      <c r="DM738" s="1361"/>
      <c r="DN738" s="1361"/>
      <c r="DO738" s="1361">
        <f t="shared" si="25"/>
        <v>0</v>
      </c>
      <c r="DP738" s="1361"/>
      <c r="DQ738" s="1361"/>
      <c r="DR738" s="1361"/>
      <c r="DS738" s="1361"/>
      <c r="DT738" s="6"/>
      <c r="DU738" s="1382">
        <f t="shared" si="26"/>
        <v>0</v>
      </c>
      <c r="DV738" s="1382"/>
      <c r="DW738" s="1382"/>
      <c r="DX738" s="1382"/>
      <c r="DY738" s="1382"/>
      <c r="DZ738" s="1382">
        <f t="shared" si="27"/>
        <v>0</v>
      </c>
      <c r="EA738" s="1382"/>
      <c r="EB738" s="1382"/>
      <c r="EC738" s="1382"/>
      <c r="ED738" s="1382"/>
      <c r="EE738" s="1382">
        <f t="shared" si="28"/>
        <v>0</v>
      </c>
      <c r="EF738" s="1382"/>
      <c r="EG738" s="1382"/>
      <c r="EH738" s="1382"/>
      <c r="EI738" s="1382"/>
      <c r="EJ738" s="1382">
        <f t="shared" si="29"/>
        <v>0</v>
      </c>
      <c r="EK738" s="1382"/>
      <c r="EL738" s="1382"/>
      <c r="EM738" s="1382"/>
      <c r="EN738" s="1382"/>
      <c r="EO738" s="1382">
        <f t="shared" si="30"/>
        <v>0</v>
      </c>
      <c r="EP738" s="1382"/>
      <c r="EQ738" s="1382"/>
      <c r="ER738" s="1382"/>
      <c r="ES738" s="1382"/>
      <c r="ET738" s="1382">
        <f t="shared" si="31"/>
        <v>0</v>
      </c>
      <c r="EU738" s="1382"/>
      <c r="EV738" s="1382"/>
      <c r="EW738" s="1382"/>
      <c r="EX738" s="1382"/>
      <c r="EZ738" s="1358" t="str">
        <f t="shared" si="32"/>
        <v/>
      </c>
      <c r="FA738" s="1359"/>
      <c r="FB738" s="1359"/>
      <c r="FC738" s="1359"/>
      <c r="FD738" s="1360"/>
      <c r="FE738" s="1358" t="str">
        <f t="shared" si="33"/>
        <v/>
      </c>
      <c r="FF738" s="1359"/>
      <c r="FG738" s="1359"/>
      <c r="FH738" s="1359"/>
      <c r="FI738" s="1360"/>
      <c r="FJ738" s="1358" t="str">
        <f t="shared" si="34"/>
        <v/>
      </c>
      <c r="FK738" s="1359"/>
      <c r="FL738" s="1359"/>
      <c r="FM738" s="1359"/>
      <c r="FN738" s="1360"/>
      <c r="FO738" s="1358" t="str">
        <f t="shared" si="35"/>
        <v/>
      </c>
      <c r="FP738" s="1359"/>
      <c r="FQ738" s="1359"/>
      <c r="FR738" s="1359"/>
      <c r="FS738" s="1360"/>
      <c r="FT738" s="1358" t="str">
        <f t="shared" si="36"/>
        <v/>
      </c>
      <c r="FU738" s="1359"/>
      <c r="FV738" s="1359"/>
      <c r="FW738" s="1359"/>
      <c r="FX738" s="1360"/>
      <c r="FY738" s="1358" t="str">
        <f t="shared" si="37"/>
        <v/>
      </c>
      <c r="FZ738" s="1359"/>
      <c r="GA738" s="1359"/>
      <c r="GB738" s="1359"/>
      <c r="GC738" s="1360"/>
    </row>
    <row r="739" spans="1:185" ht="12.95" customHeight="1">
      <c r="B739" s="1362"/>
      <c r="C739" s="1363"/>
      <c r="D739" s="1363"/>
      <c r="E739" s="1363"/>
      <c r="F739" s="1364"/>
      <c r="G739" s="1371"/>
      <c r="H739" s="1372"/>
      <c r="I739" s="1372"/>
      <c r="J739" s="1373"/>
      <c r="K739" s="1489"/>
      <c r="L739" s="1490"/>
      <c r="M739" s="1490"/>
      <c r="N739" s="1491"/>
      <c r="O739" s="1378"/>
      <c r="P739" s="1379"/>
      <c r="Q739" s="1379"/>
      <c r="R739" s="1379"/>
      <c r="S739" s="1380"/>
      <c r="T739" s="1378"/>
      <c r="U739" s="1379"/>
      <c r="V739" s="1379"/>
      <c r="W739" s="1380"/>
      <c r="X739" s="1365">
        <f t="shared" si="10"/>
        <v>0</v>
      </c>
      <c r="Y739" s="1366"/>
      <c r="Z739" s="1366"/>
      <c r="AA739" s="1366"/>
      <c r="AB739" s="1367"/>
      <c r="AC739" s="1375"/>
      <c r="AD739" s="1376"/>
      <c r="AE739" s="1376"/>
      <c r="AF739" s="1376"/>
      <c r="AG739" s="1377"/>
      <c r="AH739" s="1368" t="str">
        <f t="shared" si="38"/>
        <v/>
      </c>
      <c r="AI739" s="1369"/>
      <c r="AJ739" s="1370"/>
      <c r="AK739" s="1362" t="s">
        <v>591</v>
      </c>
      <c r="AL739" s="1363"/>
      <c r="AM739" s="1363"/>
      <c r="AN739" s="1363"/>
      <c r="AO739" s="136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8">
        <f t="shared" si="39"/>
        <v>0</v>
      </c>
      <c r="CH739" s="1360"/>
      <c r="CI739" s="1342">
        <f t="shared" si="40"/>
        <v>0</v>
      </c>
      <c r="CJ739" s="1344"/>
      <c r="CK739" s="1358">
        <f t="shared" si="18"/>
        <v>0</v>
      </c>
      <c r="CL739" s="1360"/>
      <c r="CM739" s="1342">
        <f t="shared" si="19"/>
        <v>0</v>
      </c>
      <c r="CN739" s="1344"/>
      <c r="CO739" s="3"/>
      <c r="CP739" s="1339">
        <f t="shared" si="20"/>
        <v>0</v>
      </c>
      <c r="CQ739" s="1340"/>
      <c r="CR739" s="1340"/>
      <c r="CS739" s="1340"/>
      <c r="CT739" s="1341"/>
      <c r="CU739" s="1361">
        <f t="shared" si="21"/>
        <v>0</v>
      </c>
      <c r="CV739" s="1361"/>
      <c r="CW739" s="1361"/>
      <c r="CX739" s="1361"/>
      <c r="CY739" s="1361"/>
      <c r="CZ739" s="1361">
        <f t="shared" si="22"/>
        <v>0</v>
      </c>
      <c r="DA739" s="1361"/>
      <c r="DB739" s="1361"/>
      <c r="DC739" s="1361"/>
      <c r="DD739" s="1361"/>
      <c r="DE739" s="1361">
        <f t="shared" si="23"/>
        <v>0</v>
      </c>
      <c r="DF739" s="1361"/>
      <c r="DG739" s="1361"/>
      <c r="DH739" s="1361"/>
      <c r="DI739" s="1361"/>
      <c r="DJ739" s="1361">
        <f t="shared" si="24"/>
        <v>0</v>
      </c>
      <c r="DK739" s="1361"/>
      <c r="DL739" s="1361"/>
      <c r="DM739" s="1361"/>
      <c r="DN739" s="1361"/>
      <c r="DO739" s="1361">
        <f t="shared" si="25"/>
        <v>0</v>
      </c>
      <c r="DP739" s="1361"/>
      <c r="DQ739" s="1361"/>
      <c r="DR739" s="1361"/>
      <c r="DS739" s="1361"/>
      <c r="DT739" s="6"/>
      <c r="DU739" s="1382">
        <f t="shared" si="26"/>
        <v>0</v>
      </c>
      <c r="DV739" s="1382"/>
      <c r="DW739" s="1382"/>
      <c r="DX739" s="1382"/>
      <c r="DY739" s="1382"/>
      <c r="DZ739" s="1382">
        <f t="shared" si="27"/>
        <v>0</v>
      </c>
      <c r="EA739" s="1382"/>
      <c r="EB739" s="1382"/>
      <c r="EC739" s="1382"/>
      <c r="ED739" s="1382"/>
      <c r="EE739" s="1382">
        <f t="shared" si="28"/>
        <v>0</v>
      </c>
      <c r="EF739" s="1382"/>
      <c r="EG739" s="1382"/>
      <c r="EH739" s="1382"/>
      <c r="EI739" s="1382"/>
      <c r="EJ739" s="1382">
        <f t="shared" si="29"/>
        <v>0</v>
      </c>
      <c r="EK739" s="1382"/>
      <c r="EL739" s="1382"/>
      <c r="EM739" s="1382"/>
      <c r="EN739" s="1382"/>
      <c r="EO739" s="1382">
        <f t="shared" si="30"/>
        <v>0</v>
      </c>
      <c r="EP739" s="1382"/>
      <c r="EQ739" s="1382"/>
      <c r="ER739" s="1382"/>
      <c r="ES739" s="1382"/>
      <c r="ET739" s="1382">
        <f t="shared" si="31"/>
        <v>0</v>
      </c>
      <c r="EU739" s="1382"/>
      <c r="EV739" s="1382"/>
      <c r="EW739" s="1382"/>
      <c r="EX739" s="1382"/>
      <c r="EZ739" s="1358" t="str">
        <f t="shared" si="32"/>
        <v/>
      </c>
      <c r="FA739" s="1359"/>
      <c r="FB739" s="1359"/>
      <c r="FC739" s="1359"/>
      <c r="FD739" s="1360"/>
      <c r="FE739" s="1358" t="str">
        <f t="shared" si="33"/>
        <v/>
      </c>
      <c r="FF739" s="1359"/>
      <c r="FG739" s="1359"/>
      <c r="FH739" s="1359"/>
      <c r="FI739" s="1360"/>
      <c r="FJ739" s="1358" t="str">
        <f t="shared" si="34"/>
        <v/>
      </c>
      <c r="FK739" s="1359"/>
      <c r="FL739" s="1359"/>
      <c r="FM739" s="1359"/>
      <c r="FN739" s="1360"/>
      <c r="FO739" s="1358" t="str">
        <f t="shared" si="35"/>
        <v/>
      </c>
      <c r="FP739" s="1359"/>
      <c r="FQ739" s="1359"/>
      <c r="FR739" s="1359"/>
      <c r="FS739" s="1360"/>
      <c r="FT739" s="1358" t="str">
        <f t="shared" si="36"/>
        <v/>
      </c>
      <c r="FU739" s="1359"/>
      <c r="FV739" s="1359"/>
      <c r="FW739" s="1359"/>
      <c r="FX739" s="1360"/>
      <c r="FY739" s="1358" t="str">
        <f t="shared" si="37"/>
        <v/>
      </c>
      <c r="FZ739" s="1359"/>
      <c r="GA739" s="1359"/>
      <c r="GB739" s="1359"/>
      <c r="GC739" s="1360"/>
    </row>
    <row r="740" spans="1:185" ht="12.95" customHeight="1">
      <c r="B740" s="1362"/>
      <c r="C740" s="1363"/>
      <c r="D740" s="1363"/>
      <c r="E740" s="1363"/>
      <c r="F740" s="1364"/>
      <c r="G740" s="1371"/>
      <c r="H740" s="1372"/>
      <c r="I740" s="1372"/>
      <c r="J740" s="1373"/>
      <c r="K740" s="1489"/>
      <c r="L740" s="1490"/>
      <c r="M740" s="1490"/>
      <c r="N740" s="1491"/>
      <c r="O740" s="1378"/>
      <c r="P740" s="1379"/>
      <c r="Q740" s="1379"/>
      <c r="R740" s="1379"/>
      <c r="S740" s="1380"/>
      <c r="T740" s="1378"/>
      <c r="U740" s="1379"/>
      <c r="V740" s="1379"/>
      <c r="W740" s="1380"/>
      <c r="X740" s="1365">
        <f t="shared" si="10"/>
        <v>0</v>
      </c>
      <c r="Y740" s="1366"/>
      <c r="Z740" s="1366"/>
      <c r="AA740" s="1366"/>
      <c r="AB740" s="1367"/>
      <c r="AC740" s="1375"/>
      <c r="AD740" s="1376"/>
      <c r="AE740" s="1376"/>
      <c r="AF740" s="1376"/>
      <c r="AG740" s="1377"/>
      <c r="AH740" s="1368" t="str">
        <f t="shared" si="38"/>
        <v/>
      </c>
      <c r="AI740" s="1369"/>
      <c r="AJ740" s="1370"/>
      <c r="AK740" s="1362" t="s">
        <v>591</v>
      </c>
      <c r="AL740" s="1363"/>
      <c r="AM740" s="1363"/>
      <c r="AN740" s="1363"/>
      <c r="AO740" s="136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8">
        <f t="shared" si="39"/>
        <v>0</v>
      </c>
      <c r="CH740" s="1360"/>
      <c r="CI740" s="1342">
        <f t="shared" si="40"/>
        <v>0</v>
      </c>
      <c r="CJ740" s="1344"/>
      <c r="CK740" s="1358">
        <f t="shared" si="18"/>
        <v>0</v>
      </c>
      <c r="CL740" s="1360"/>
      <c r="CM740" s="1342">
        <f t="shared" si="19"/>
        <v>0</v>
      </c>
      <c r="CN740" s="1344"/>
      <c r="CO740" s="3"/>
      <c r="CP740" s="1339">
        <f t="shared" si="20"/>
        <v>0</v>
      </c>
      <c r="CQ740" s="1340"/>
      <c r="CR740" s="1340"/>
      <c r="CS740" s="1340"/>
      <c r="CT740" s="1341"/>
      <c r="CU740" s="1361">
        <f t="shared" si="21"/>
        <v>0</v>
      </c>
      <c r="CV740" s="1361"/>
      <c r="CW740" s="1361"/>
      <c r="CX740" s="1361"/>
      <c r="CY740" s="1361"/>
      <c r="CZ740" s="1361">
        <f t="shared" si="22"/>
        <v>0</v>
      </c>
      <c r="DA740" s="1361"/>
      <c r="DB740" s="1361"/>
      <c r="DC740" s="1361"/>
      <c r="DD740" s="1361"/>
      <c r="DE740" s="1361">
        <f t="shared" si="23"/>
        <v>0</v>
      </c>
      <c r="DF740" s="1361"/>
      <c r="DG740" s="1361"/>
      <c r="DH740" s="1361"/>
      <c r="DI740" s="1361"/>
      <c r="DJ740" s="1361">
        <f t="shared" si="24"/>
        <v>0</v>
      </c>
      <c r="DK740" s="1361"/>
      <c r="DL740" s="1361"/>
      <c r="DM740" s="1361"/>
      <c r="DN740" s="1361"/>
      <c r="DO740" s="1361">
        <f t="shared" si="25"/>
        <v>0</v>
      </c>
      <c r="DP740" s="1361"/>
      <c r="DQ740" s="1361"/>
      <c r="DR740" s="1361"/>
      <c r="DS740" s="1361"/>
      <c r="DT740" s="6"/>
      <c r="DU740" s="1382">
        <f t="shared" si="26"/>
        <v>0</v>
      </c>
      <c r="DV740" s="1382"/>
      <c r="DW740" s="1382"/>
      <c r="DX740" s="1382"/>
      <c r="DY740" s="1382"/>
      <c r="DZ740" s="1382">
        <f t="shared" si="27"/>
        <v>0</v>
      </c>
      <c r="EA740" s="1382"/>
      <c r="EB740" s="1382"/>
      <c r="EC740" s="1382"/>
      <c r="ED740" s="1382"/>
      <c r="EE740" s="1382">
        <f t="shared" si="28"/>
        <v>0</v>
      </c>
      <c r="EF740" s="1382"/>
      <c r="EG740" s="1382"/>
      <c r="EH740" s="1382"/>
      <c r="EI740" s="1382"/>
      <c r="EJ740" s="1382">
        <f t="shared" si="29"/>
        <v>0</v>
      </c>
      <c r="EK740" s="1382"/>
      <c r="EL740" s="1382"/>
      <c r="EM740" s="1382"/>
      <c r="EN740" s="1382"/>
      <c r="EO740" s="1382">
        <f t="shared" si="30"/>
        <v>0</v>
      </c>
      <c r="EP740" s="1382"/>
      <c r="EQ740" s="1382"/>
      <c r="ER740" s="1382"/>
      <c r="ES740" s="1382"/>
      <c r="ET740" s="1382">
        <f t="shared" si="31"/>
        <v>0</v>
      </c>
      <c r="EU740" s="1382"/>
      <c r="EV740" s="1382"/>
      <c r="EW740" s="1382"/>
      <c r="EX740" s="1382"/>
      <c r="EZ740" s="1358" t="str">
        <f t="shared" si="32"/>
        <v/>
      </c>
      <c r="FA740" s="1359"/>
      <c r="FB740" s="1359"/>
      <c r="FC740" s="1359"/>
      <c r="FD740" s="1360"/>
      <c r="FE740" s="1358" t="str">
        <f t="shared" si="33"/>
        <v/>
      </c>
      <c r="FF740" s="1359"/>
      <c r="FG740" s="1359"/>
      <c r="FH740" s="1359"/>
      <c r="FI740" s="1360"/>
      <c r="FJ740" s="1358" t="str">
        <f t="shared" si="34"/>
        <v/>
      </c>
      <c r="FK740" s="1359"/>
      <c r="FL740" s="1359"/>
      <c r="FM740" s="1359"/>
      <c r="FN740" s="1360"/>
      <c r="FO740" s="1358" t="str">
        <f t="shared" si="35"/>
        <v/>
      </c>
      <c r="FP740" s="1359"/>
      <c r="FQ740" s="1359"/>
      <c r="FR740" s="1359"/>
      <c r="FS740" s="1360"/>
      <c r="FT740" s="1358" t="str">
        <f t="shared" si="36"/>
        <v/>
      </c>
      <c r="FU740" s="1359"/>
      <c r="FV740" s="1359"/>
      <c r="FW740" s="1359"/>
      <c r="FX740" s="1360"/>
      <c r="FY740" s="1358" t="str">
        <f t="shared" si="37"/>
        <v/>
      </c>
      <c r="FZ740" s="1359"/>
      <c r="GA740" s="1359"/>
      <c r="GB740" s="1359"/>
      <c r="GC740" s="1360"/>
    </row>
    <row r="741" spans="1:185" ht="12.95" customHeight="1">
      <c r="B741" s="1362"/>
      <c r="C741" s="1363"/>
      <c r="D741" s="1363"/>
      <c r="E741" s="1363"/>
      <c r="F741" s="1364"/>
      <c r="G741" s="1371"/>
      <c r="H741" s="1372"/>
      <c r="I741" s="1372"/>
      <c r="J741" s="1373"/>
      <c r="K741" s="1489"/>
      <c r="L741" s="1490"/>
      <c r="M741" s="1490"/>
      <c r="N741" s="1491"/>
      <c r="O741" s="1378"/>
      <c r="P741" s="1379"/>
      <c r="Q741" s="1379"/>
      <c r="R741" s="1379"/>
      <c r="S741" s="1380"/>
      <c r="T741" s="1378"/>
      <c r="U741" s="1379"/>
      <c r="V741" s="1379"/>
      <c r="W741" s="1380"/>
      <c r="X741" s="1365">
        <f t="shared" si="10"/>
        <v>0</v>
      </c>
      <c r="Y741" s="1366"/>
      <c r="Z741" s="1366"/>
      <c r="AA741" s="1366"/>
      <c r="AB741" s="1367"/>
      <c r="AC741" s="1375"/>
      <c r="AD741" s="1376"/>
      <c r="AE741" s="1376"/>
      <c r="AF741" s="1376"/>
      <c r="AG741" s="1377"/>
      <c r="AH741" s="1368" t="str">
        <f t="shared" si="38"/>
        <v/>
      </c>
      <c r="AI741" s="1369"/>
      <c r="AJ741" s="1370"/>
      <c r="AK741" s="1362" t="s">
        <v>591</v>
      </c>
      <c r="AL741" s="1363"/>
      <c r="AM741" s="1363"/>
      <c r="AN741" s="1363"/>
      <c r="AO741" s="136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8">
        <f t="shared" si="39"/>
        <v>0</v>
      </c>
      <c r="CH741" s="1360"/>
      <c r="CI741" s="1342">
        <f t="shared" si="40"/>
        <v>0</v>
      </c>
      <c r="CJ741" s="1344"/>
      <c r="CK741" s="1358">
        <f t="shared" si="18"/>
        <v>0</v>
      </c>
      <c r="CL741" s="1360"/>
      <c r="CM741" s="1342">
        <f t="shared" si="19"/>
        <v>0</v>
      </c>
      <c r="CN741" s="1344"/>
      <c r="CO741" s="3"/>
      <c r="CP741" s="1339">
        <f t="shared" si="20"/>
        <v>0</v>
      </c>
      <c r="CQ741" s="1340"/>
      <c r="CR741" s="1340"/>
      <c r="CS741" s="1340"/>
      <c r="CT741" s="1341"/>
      <c r="CU741" s="1361">
        <f t="shared" si="21"/>
        <v>0</v>
      </c>
      <c r="CV741" s="1361"/>
      <c r="CW741" s="1361"/>
      <c r="CX741" s="1361"/>
      <c r="CY741" s="1361"/>
      <c r="CZ741" s="1361">
        <f t="shared" si="22"/>
        <v>0</v>
      </c>
      <c r="DA741" s="1361"/>
      <c r="DB741" s="1361"/>
      <c r="DC741" s="1361"/>
      <c r="DD741" s="1361"/>
      <c r="DE741" s="1361">
        <f t="shared" si="23"/>
        <v>0</v>
      </c>
      <c r="DF741" s="1361"/>
      <c r="DG741" s="1361"/>
      <c r="DH741" s="1361"/>
      <c r="DI741" s="1361"/>
      <c r="DJ741" s="1361">
        <f t="shared" si="24"/>
        <v>0</v>
      </c>
      <c r="DK741" s="1361"/>
      <c r="DL741" s="1361"/>
      <c r="DM741" s="1361"/>
      <c r="DN741" s="1361"/>
      <c r="DO741" s="1361">
        <f t="shared" si="25"/>
        <v>0</v>
      </c>
      <c r="DP741" s="1361"/>
      <c r="DQ741" s="1361"/>
      <c r="DR741" s="1361"/>
      <c r="DS741" s="1361"/>
      <c r="DT741" s="6"/>
      <c r="DU741" s="1382">
        <f t="shared" si="26"/>
        <v>0</v>
      </c>
      <c r="DV741" s="1382"/>
      <c r="DW741" s="1382"/>
      <c r="DX741" s="1382"/>
      <c r="DY741" s="1382"/>
      <c r="DZ741" s="1382">
        <f t="shared" si="27"/>
        <v>0</v>
      </c>
      <c r="EA741" s="1382"/>
      <c r="EB741" s="1382"/>
      <c r="EC741" s="1382"/>
      <c r="ED741" s="1382"/>
      <c r="EE741" s="1382">
        <f t="shared" si="28"/>
        <v>0</v>
      </c>
      <c r="EF741" s="1382"/>
      <c r="EG741" s="1382"/>
      <c r="EH741" s="1382"/>
      <c r="EI741" s="1382"/>
      <c r="EJ741" s="1382">
        <f t="shared" si="29"/>
        <v>0</v>
      </c>
      <c r="EK741" s="1382"/>
      <c r="EL741" s="1382"/>
      <c r="EM741" s="1382"/>
      <c r="EN741" s="1382"/>
      <c r="EO741" s="1382">
        <f t="shared" si="30"/>
        <v>0</v>
      </c>
      <c r="EP741" s="1382"/>
      <c r="EQ741" s="1382"/>
      <c r="ER741" s="1382"/>
      <c r="ES741" s="1382"/>
      <c r="ET741" s="1382">
        <f t="shared" si="31"/>
        <v>0</v>
      </c>
      <c r="EU741" s="1382"/>
      <c r="EV741" s="1382"/>
      <c r="EW741" s="1382"/>
      <c r="EX741" s="1382"/>
      <c r="EZ741" s="1358" t="str">
        <f t="shared" si="32"/>
        <v/>
      </c>
      <c r="FA741" s="1359"/>
      <c r="FB741" s="1359"/>
      <c r="FC741" s="1359"/>
      <c r="FD741" s="1360"/>
      <c r="FE741" s="1358" t="str">
        <f t="shared" si="33"/>
        <v/>
      </c>
      <c r="FF741" s="1359"/>
      <c r="FG741" s="1359"/>
      <c r="FH741" s="1359"/>
      <c r="FI741" s="1360"/>
      <c r="FJ741" s="1358" t="str">
        <f t="shared" si="34"/>
        <v/>
      </c>
      <c r="FK741" s="1359"/>
      <c r="FL741" s="1359"/>
      <c r="FM741" s="1359"/>
      <c r="FN741" s="1360"/>
      <c r="FO741" s="1358" t="str">
        <f t="shared" si="35"/>
        <v/>
      </c>
      <c r="FP741" s="1359"/>
      <c r="FQ741" s="1359"/>
      <c r="FR741" s="1359"/>
      <c r="FS741" s="1360"/>
      <c r="FT741" s="1358" t="str">
        <f t="shared" si="36"/>
        <v/>
      </c>
      <c r="FU741" s="1359"/>
      <c r="FV741" s="1359"/>
      <c r="FW741" s="1359"/>
      <c r="FX741" s="1360"/>
      <c r="FY741" s="1358" t="str">
        <f t="shared" si="37"/>
        <v/>
      </c>
      <c r="FZ741" s="1359"/>
      <c r="GA741" s="1359"/>
      <c r="GB741" s="1359"/>
      <c r="GC741" s="1360"/>
    </row>
    <row r="742" spans="1:185" ht="12.95" customHeight="1">
      <c r="B742" s="1362"/>
      <c r="C742" s="1363"/>
      <c r="D742" s="1363"/>
      <c r="E742" s="1363"/>
      <c r="F742" s="1364"/>
      <c r="G742" s="1371"/>
      <c r="H742" s="1372"/>
      <c r="I742" s="1372"/>
      <c r="J742" s="1373"/>
      <c r="K742" s="1489"/>
      <c r="L742" s="1490"/>
      <c r="M742" s="1490"/>
      <c r="N742" s="1491"/>
      <c r="O742" s="1378"/>
      <c r="P742" s="1379"/>
      <c r="Q742" s="1379"/>
      <c r="R742" s="1379"/>
      <c r="S742" s="1380"/>
      <c r="T742" s="1378"/>
      <c r="U742" s="1379"/>
      <c r="V742" s="1379"/>
      <c r="W742" s="1380"/>
      <c r="X742" s="1365">
        <f t="shared" si="10"/>
        <v>0</v>
      </c>
      <c r="Y742" s="1366"/>
      <c r="Z742" s="1366"/>
      <c r="AA742" s="1366"/>
      <c r="AB742" s="1367"/>
      <c r="AC742" s="1375"/>
      <c r="AD742" s="1376"/>
      <c r="AE742" s="1376"/>
      <c r="AF742" s="1376"/>
      <c r="AG742" s="1377"/>
      <c r="AH742" s="1368" t="str">
        <f t="shared" si="38"/>
        <v/>
      </c>
      <c r="AI742" s="1369"/>
      <c r="AJ742" s="1370"/>
      <c r="AK742" s="1362" t="s">
        <v>591</v>
      </c>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8">
        <f t="shared" si="39"/>
        <v>0</v>
      </c>
      <c r="CH742" s="1360"/>
      <c r="CI742" s="1342">
        <f t="shared" si="40"/>
        <v>0</v>
      </c>
      <c r="CJ742" s="1344"/>
      <c r="CK742" s="1358">
        <f t="shared" si="18"/>
        <v>0</v>
      </c>
      <c r="CL742" s="1360"/>
      <c r="CM742" s="1342">
        <f t="shared" si="19"/>
        <v>0</v>
      </c>
      <c r="CN742" s="1344"/>
      <c r="CO742" s="3"/>
      <c r="CP742" s="1339">
        <f t="shared" si="20"/>
        <v>0</v>
      </c>
      <c r="CQ742" s="1340"/>
      <c r="CR742" s="1340"/>
      <c r="CS742" s="1340"/>
      <c r="CT742" s="1341"/>
      <c r="CU742" s="1361">
        <f t="shared" si="21"/>
        <v>0</v>
      </c>
      <c r="CV742" s="1361"/>
      <c r="CW742" s="1361"/>
      <c r="CX742" s="1361"/>
      <c r="CY742" s="1361"/>
      <c r="CZ742" s="1361">
        <f t="shared" si="22"/>
        <v>0</v>
      </c>
      <c r="DA742" s="1361"/>
      <c r="DB742" s="1361"/>
      <c r="DC742" s="1361"/>
      <c r="DD742" s="1361"/>
      <c r="DE742" s="1361">
        <f t="shared" si="23"/>
        <v>0</v>
      </c>
      <c r="DF742" s="1361"/>
      <c r="DG742" s="1361"/>
      <c r="DH742" s="1361"/>
      <c r="DI742" s="1361"/>
      <c r="DJ742" s="1361">
        <f t="shared" si="24"/>
        <v>0</v>
      </c>
      <c r="DK742" s="1361"/>
      <c r="DL742" s="1361"/>
      <c r="DM742" s="1361"/>
      <c r="DN742" s="1361"/>
      <c r="DO742" s="1361">
        <f t="shared" si="25"/>
        <v>0</v>
      </c>
      <c r="DP742" s="1361"/>
      <c r="DQ742" s="1361"/>
      <c r="DR742" s="1361"/>
      <c r="DS742" s="1361"/>
      <c r="DT742" s="6"/>
      <c r="DU742" s="1382">
        <f t="shared" si="26"/>
        <v>0</v>
      </c>
      <c r="DV742" s="1382"/>
      <c r="DW742" s="1382"/>
      <c r="DX742" s="1382"/>
      <c r="DY742" s="1382"/>
      <c r="DZ742" s="1382">
        <f t="shared" si="27"/>
        <v>0</v>
      </c>
      <c r="EA742" s="1382"/>
      <c r="EB742" s="1382"/>
      <c r="EC742" s="1382"/>
      <c r="ED742" s="1382"/>
      <c r="EE742" s="1382">
        <f t="shared" si="28"/>
        <v>0</v>
      </c>
      <c r="EF742" s="1382"/>
      <c r="EG742" s="1382"/>
      <c r="EH742" s="1382"/>
      <c r="EI742" s="1382"/>
      <c r="EJ742" s="1382">
        <f t="shared" si="29"/>
        <v>0</v>
      </c>
      <c r="EK742" s="1382"/>
      <c r="EL742" s="1382"/>
      <c r="EM742" s="1382"/>
      <c r="EN742" s="1382"/>
      <c r="EO742" s="1382">
        <f t="shared" si="30"/>
        <v>0</v>
      </c>
      <c r="EP742" s="1382"/>
      <c r="EQ742" s="1382"/>
      <c r="ER742" s="1382"/>
      <c r="ES742" s="1382"/>
      <c r="ET742" s="1382">
        <f t="shared" si="31"/>
        <v>0</v>
      </c>
      <c r="EU742" s="1382"/>
      <c r="EV742" s="1382"/>
      <c r="EW742" s="1382"/>
      <c r="EX742" s="1382"/>
      <c r="EZ742" s="1358" t="str">
        <f t="shared" si="32"/>
        <v/>
      </c>
      <c r="FA742" s="1359"/>
      <c r="FB742" s="1359"/>
      <c r="FC742" s="1359"/>
      <c r="FD742" s="1360"/>
      <c r="FE742" s="1358" t="str">
        <f t="shared" si="33"/>
        <v/>
      </c>
      <c r="FF742" s="1359"/>
      <c r="FG742" s="1359"/>
      <c r="FH742" s="1359"/>
      <c r="FI742" s="1360"/>
      <c r="FJ742" s="1358" t="str">
        <f t="shared" si="34"/>
        <v/>
      </c>
      <c r="FK742" s="1359"/>
      <c r="FL742" s="1359"/>
      <c r="FM742" s="1359"/>
      <c r="FN742" s="1360"/>
      <c r="FO742" s="1358" t="str">
        <f t="shared" si="35"/>
        <v/>
      </c>
      <c r="FP742" s="1359"/>
      <c r="FQ742" s="1359"/>
      <c r="FR742" s="1359"/>
      <c r="FS742" s="1360"/>
      <c r="FT742" s="1358" t="str">
        <f t="shared" si="36"/>
        <v/>
      </c>
      <c r="FU742" s="1359"/>
      <c r="FV742" s="1359"/>
      <c r="FW742" s="1359"/>
      <c r="FX742" s="1360"/>
      <c r="FY742" s="1358" t="str">
        <f t="shared" si="37"/>
        <v/>
      </c>
      <c r="FZ742" s="1359"/>
      <c r="GA742" s="1359"/>
      <c r="GB742" s="1359"/>
      <c r="GC742" s="1360"/>
    </row>
    <row r="743" spans="1:185" ht="12.95" customHeight="1">
      <c r="B743" s="1362"/>
      <c r="C743" s="1363"/>
      <c r="D743" s="1363"/>
      <c r="E743" s="1363"/>
      <c r="F743" s="1364"/>
      <c r="G743" s="1371"/>
      <c r="H743" s="1372"/>
      <c r="I743" s="1372"/>
      <c r="J743" s="1373"/>
      <c r="K743" s="1489"/>
      <c r="L743" s="1490"/>
      <c r="M743" s="1490"/>
      <c r="N743" s="1491"/>
      <c r="O743" s="1378"/>
      <c r="P743" s="1379"/>
      <c r="Q743" s="1379"/>
      <c r="R743" s="1379"/>
      <c r="S743" s="1380"/>
      <c r="T743" s="1378"/>
      <c r="U743" s="1379"/>
      <c r="V743" s="1379"/>
      <c r="W743" s="1380"/>
      <c r="X743" s="1365">
        <f t="shared" si="10"/>
        <v>0</v>
      </c>
      <c r="Y743" s="1366"/>
      <c r="Z743" s="1366"/>
      <c r="AA743" s="1366"/>
      <c r="AB743" s="1367"/>
      <c r="AC743" s="1375"/>
      <c r="AD743" s="1376"/>
      <c r="AE743" s="1376"/>
      <c r="AF743" s="1376"/>
      <c r="AG743" s="1377"/>
      <c r="AH743" s="1368" t="str">
        <f t="shared" si="38"/>
        <v/>
      </c>
      <c r="AI743" s="1369"/>
      <c r="AJ743" s="1370"/>
      <c r="AK743" s="1362" t="s">
        <v>591</v>
      </c>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8">
        <f t="shared" si="39"/>
        <v>0</v>
      </c>
      <c r="CH743" s="1360"/>
      <c r="CI743" s="1342">
        <f t="shared" si="40"/>
        <v>0</v>
      </c>
      <c r="CJ743" s="1344"/>
      <c r="CK743" s="1358">
        <f t="shared" si="18"/>
        <v>0</v>
      </c>
      <c r="CL743" s="1360"/>
      <c r="CM743" s="1342">
        <f t="shared" si="19"/>
        <v>0</v>
      </c>
      <c r="CN743" s="1344"/>
      <c r="CO743" s="3"/>
      <c r="CP743" s="1339">
        <f t="shared" si="20"/>
        <v>0</v>
      </c>
      <c r="CQ743" s="1340"/>
      <c r="CR743" s="1340"/>
      <c r="CS743" s="1340"/>
      <c r="CT743" s="1341"/>
      <c r="CU743" s="1361">
        <f t="shared" si="21"/>
        <v>0</v>
      </c>
      <c r="CV743" s="1361"/>
      <c r="CW743" s="1361"/>
      <c r="CX743" s="1361"/>
      <c r="CY743" s="1361"/>
      <c r="CZ743" s="1361">
        <f t="shared" si="22"/>
        <v>0</v>
      </c>
      <c r="DA743" s="1361"/>
      <c r="DB743" s="1361"/>
      <c r="DC743" s="1361"/>
      <c r="DD743" s="1361"/>
      <c r="DE743" s="1361">
        <f t="shared" si="23"/>
        <v>0</v>
      </c>
      <c r="DF743" s="1361"/>
      <c r="DG743" s="1361"/>
      <c r="DH743" s="1361"/>
      <c r="DI743" s="1361"/>
      <c r="DJ743" s="1361">
        <f t="shared" si="24"/>
        <v>0</v>
      </c>
      <c r="DK743" s="1361"/>
      <c r="DL743" s="1361"/>
      <c r="DM743" s="1361"/>
      <c r="DN743" s="1361"/>
      <c r="DO743" s="1361">
        <f t="shared" si="25"/>
        <v>0</v>
      </c>
      <c r="DP743" s="1361"/>
      <c r="DQ743" s="1361"/>
      <c r="DR743" s="1361"/>
      <c r="DS743" s="1361"/>
      <c r="DT743" s="6"/>
      <c r="DU743" s="1382">
        <f t="shared" si="26"/>
        <v>0</v>
      </c>
      <c r="DV743" s="1382"/>
      <c r="DW743" s="1382"/>
      <c r="DX743" s="1382"/>
      <c r="DY743" s="1382"/>
      <c r="DZ743" s="1382">
        <f t="shared" si="27"/>
        <v>0</v>
      </c>
      <c r="EA743" s="1382"/>
      <c r="EB743" s="1382"/>
      <c r="EC743" s="1382"/>
      <c r="ED743" s="1382"/>
      <c r="EE743" s="1382">
        <f t="shared" si="28"/>
        <v>0</v>
      </c>
      <c r="EF743" s="1382"/>
      <c r="EG743" s="1382"/>
      <c r="EH743" s="1382"/>
      <c r="EI743" s="1382"/>
      <c r="EJ743" s="1382">
        <f t="shared" si="29"/>
        <v>0</v>
      </c>
      <c r="EK743" s="1382"/>
      <c r="EL743" s="1382"/>
      <c r="EM743" s="1382"/>
      <c r="EN743" s="1382"/>
      <c r="EO743" s="1382">
        <f t="shared" si="30"/>
        <v>0</v>
      </c>
      <c r="EP743" s="1382"/>
      <c r="EQ743" s="1382"/>
      <c r="ER743" s="1382"/>
      <c r="ES743" s="1382"/>
      <c r="ET743" s="1382">
        <f t="shared" si="31"/>
        <v>0</v>
      </c>
      <c r="EU743" s="1382"/>
      <c r="EV743" s="1382"/>
      <c r="EW743" s="1382"/>
      <c r="EX743" s="1382"/>
      <c r="EZ743" s="1358" t="str">
        <f t="shared" si="32"/>
        <v/>
      </c>
      <c r="FA743" s="1359"/>
      <c r="FB743" s="1359"/>
      <c r="FC743" s="1359"/>
      <c r="FD743" s="1360"/>
      <c r="FE743" s="1358" t="str">
        <f t="shared" si="33"/>
        <v/>
      </c>
      <c r="FF743" s="1359"/>
      <c r="FG743" s="1359"/>
      <c r="FH743" s="1359"/>
      <c r="FI743" s="1360"/>
      <c r="FJ743" s="1358" t="str">
        <f t="shared" si="34"/>
        <v/>
      </c>
      <c r="FK743" s="1359"/>
      <c r="FL743" s="1359"/>
      <c r="FM743" s="1359"/>
      <c r="FN743" s="1360"/>
      <c r="FO743" s="1358" t="str">
        <f t="shared" si="35"/>
        <v/>
      </c>
      <c r="FP743" s="1359"/>
      <c r="FQ743" s="1359"/>
      <c r="FR743" s="1359"/>
      <c r="FS743" s="1360"/>
      <c r="FT743" s="1358" t="str">
        <f t="shared" si="36"/>
        <v/>
      </c>
      <c r="FU743" s="1359"/>
      <c r="FV743" s="1359"/>
      <c r="FW743" s="1359"/>
      <c r="FX743" s="1360"/>
      <c r="FY743" s="1358" t="str">
        <f t="shared" si="37"/>
        <v/>
      </c>
      <c r="FZ743" s="1359"/>
      <c r="GA743" s="1359"/>
      <c r="GB743" s="1359"/>
      <c r="GC743" s="1360"/>
    </row>
    <row r="744" spans="1:185" ht="12.95" customHeight="1">
      <c r="B744" s="1362"/>
      <c r="C744" s="1363"/>
      <c r="D744" s="1363"/>
      <c r="E744" s="1363"/>
      <c r="F744" s="1364"/>
      <c r="G744" s="1371"/>
      <c r="H744" s="1372"/>
      <c r="I744" s="1372"/>
      <c r="J744" s="1373"/>
      <c r="K744" s="1489"/>
      <c r="L744" s="1490"/>
      <c r="M744" s="1490"/>
      <c r="N744" s="1491"/>
      <c r="O744" s="1378"/>
      <c r="P744" s="1379"/>
      <c r="Q744" s="1379"/>
      <c r="R744" s="1379"/>
      <c r="S744" s="1380"/>
      <c r="T744" s="1378"/>
      <c r="U744" s="1379"/>
      <c r="V744" s="1379"/>
      <c r="W744" s="1380"/>
      <c r="X744" s="1365">
        <f t="shared" si="10"/>
        <v>0</v>
      </c>
      <c r="Y744" s="1366"/>
      <c r="Z744" s="1366"/>
      <c r="AA744" s="1366"/>
      <c r="AB744" s="1367"/>
      <c r="AC744" s="1375"/>
      <c r="AD744" s="1376"/>
      <c r="AE744" s="1376"/>
      <c r="AF744" s="1376"/>
      <c r="AG744" s="1377"/>
      <c r="AH744" s="1368" t="str">
        <f t="shared" si="38"/>
        <v/>
      </c>
      <c r="AI744" s="1369"/>
      <c r="AJ744" s="1370"/>
      <c r="AK744" s="1362" t="s">
        <v>591</v>
      </c>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8">
        <f t="shared" si="39"/>
        <v>0</v>
      </c>
      <c r="CH744" s="1360"/>
      <c r="CI744" s="1342">
        <f t="shared" si="40"/>
        <v>0</v>
      </c>
      <c r="CJ744" s="1344"/>
      <c r="CK744" s="1358">
        <f t="shared" si="18"/>
        <v>0</v>
      </c>
      <c r="CL744" s="1360"/>
      <c r="CM744" s="1342">
        <f t="shared" si="19"/>
        <v>0</v>
      </c>
      <c r="CN744" s="1344"/>
      <c r="CO744" s="3"/>
      <c r="CP744" s="1339">
        <f t="shared" si="20"/>
        <v>0</v>
      </c>
      <c r="CQ744" s="1340"/>
      <c r="CR744" s="1340"/>
      <c r="CS744" s="1340"/>
      <c r="CT744" s="1341"/>
      <c r="CU744" s="1361">
        <f t="shared" si="21"/>
        <v>0</v>
      </c>
      <c r="CV744" s="1361"/>
      <c r="CW744" s="1361"/>
      <c r="CX744" s="1361"/>
      <c r="CY744" s="1361"/>
      <c r="CZ744" s="1361">
        <f t="shared" si="22"/>
        <v>0</v>
      </c>
      <c r="DA744" s="1361"/>
      <c r="DB744" s="1361"/>
      <c r="DC744" s="1361"/>
      <c r="DD744" s="1361"/>
      <c r="DE744" s="1361">
        <f t="shared" si="23"/>
        <v>0</v>
      </c>
      <c r="DF744" s="1361"/>
      <c r="DG744" s="1361"/>
      <c r="DH744" s="1361"/>
      <c r="DI744" s="1361"/>
      <c r="DJ744" s="1361">
        <f t="shared" si="24"/>
        <v>0</v>
      </c>
      <c r="DK744" s="1361"/>
      <c r="DL744" s="1361"/>
      <c r="DM744" s="1361"/>
      <c r="DN744" s="1361"/>
      <c r="DO744" s="1361">
        <f t="shared" si="25"/>
        <v>0</v>
      </c>
      <c r="DP744" s="1361"/>
      <c r="DQ744" s="1361"/>
      <c r="DR744" s="1361"/>
      <c r="DS744" s="1361"/>
      <c r="DT744" s="6"/>
      <c r="DU744" s="1382">
        <f t="shared" si="26"/>
        <v>0</v>
      </c>
      <c r="DV744" s="1382"/>
      <c r="DW744" s="1382"/>
      <c r="DX744" s="1382"/>
      <c r="DY744" s="1382"/>
      <c r="DZ744" s="1382">
        <f t="shared" si="27"/>
        <v>0</v>
      </c>
      <c r="EA744" s="1382"/>
      <c r="EB744" s="1382"/>
      <c r="EC744" s="1382"/>
      <c r="ED744" s="1382"/>
      <c r="EE744" s="1382">
        <f t="shared" si="28"/>
        <v>0</v>
      </c>
      <c r="EF744" s="1382"/>
      <c r="EG744" s="1382"/>
      <c r="EH744" s="1382"/>
      <c r="EI744" s="1382"/>
      <c r="EJ744" s="1382">
        <f t="shared" si="29"/>
        <v>0</v>
      </c>
      <c r="EK744" s="1382"/>
      <c r="EL744" s="1382"/>
      <c r="EM744" s="1382"/>
      <c r="EN744" s="1382"/>
      <c r="EO744" s="1382">
        <f t="shared" si="30"/>
        <v>0</v>
      </c>
      <c r="EP744" s="1382"/>
      <c r="EQ744" s="1382"/>
      <c r="ER744" s="1382"/>
      <c r="ES744" s="1382"/>
      <c r="ET744" s="1382">
        <f t="shared" si="31"/>
        <v>0</v>
      </c>
      <c r="EU744" s="1382"/>
      <c r="EV744" s="1382"/>
      <c r="EW744" s="1382"/>
      <c r="EX744" s="1382"/>
      <c r="EZ744" s="1358" t="str">
        <f t="shared" si="32"/>
        <v/>
      </c>
      <c r="FA744" s="1359"/>
      <c r="FB744" s="1359"/>
      <c r="FC744" s="1359"/>
      <c r="FD744" s="1360"/>
      <c r="FE744" s="1358" t="str">
        <f t="shared" si="33"/>
        <v/>
      </c>
      <c r="FF744" s="1359"/>
      <c r="FG744" s="1359"/>
      <c r="FH744" s="1359"/>
      <c r="FI744" s="1360"/>
      <c r="FJ744" s="1358" t="str">
        <f t="shared" si="34"/>
        <v/>
      </c>
      <c r="FK744" s="1359"/>
      <c r="FL744" s="1359"/>
      <c r="FM744" s="1359"/>
      <c r="FN744" s="1360"/>
      <c r="FO744" s="1358" t="str">
        <f t="shared" si="35"/>
        <v/>
      </c>
      <c r="FP744" s="1359"/>
      <c r="FQ744" s="1359"/>
      <c r="FR744" s="1359"/>
      <c r="FS744" s="1360"/>
      <c r="FT744" s="1358" t="str">
        <f t="shared" si="36"/>
        <v/>
      </c>
      <c r="FU744" s="1359"/>
      <c r="FV744" s="1359"/>
      <c r="FW744" s="1359"/>
      <c r="FX744" s="1360"/>
      <c r="FY744" s="1358" t="str">
        <f t="shared" si="37"/>
        <v/>
      </c>
      <c r="FZ744" s="1359"/>
      <c r="GA744" s="1359"/>
      <c r="GB744" s="1359"/>
      <c r="GC744" s="1360"/>
    </row>
    <row r="745" spans="1:185" ht="12.95" customHeight="1">
      <c r="B745" s="1362"/>
      <c r="C745" s="1363"/>
      <c r="D745" s="1363"/>
      <c r="E745" s="1363"/>
      <c r="F745" s="1364"/>
      <c r="G745" s="1371"/>
      <c r="H745" s="1372"/>
      <c r="I745" s="1372"/>
      <c r="J745" s="1373"/>
      <c r="K745" s="1489"/>
      <c r="L745" s="1490"/>
      <c r="M745" s="1490"/>
      <c r="N745" s="1491"/>
      <c r="O745" s="1378"/>
      <c r="P745" s="1379"/>
      <c r="Q745" s="1379"/>
      <c r="R745" s="1379"/>
      <c r="S745" s="1380"/>
      <c r="T745" s="1378"/>
      <c r="U745" s="1379"/>
      <c r="V745" s="1379"/>
      <c r="W745" s="1380"/>
      <c r="X745" s="1365">
        <f t="shared" si="10"/>
        <v>0</v>
      </c>
      <c r="Y745" s="1366"/>
      <c r="Z745" s="1366"/>
      <c r="AA745" s="1366"/>
      <c r="AB745" s="1367"/>
      <c r="AC745" s="1375"/>
      <c r="AD745" s="1376"/>
      <c r="AE745" s="1376"/>
      <c r="AF745" s="1376"/>
      <c r="AG745" s="1377"/>
      <c r="AH745" s="1368" t="str">
        <f t="shared" si="38"/>
        <v/>
      </c>
      <c r="AI745" s="1369"/>
      <c r="AJ745" s="1370"/>
      <c r="AK745" s="1362" t="s">
        <v>591</v>
      </c>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8">
        <f t="shared" si="39"/>
        <v>0</v>
      </c>
      <c r="CH745" s="1360"/>
      <c r="CI745" s="1342">
        <f t="shared" si="40"/>
        <v>0</v>
      </c>
      <c r="CJ745" s="1344"/>
      <c r="CK745" s="1358">
        <f t="shared" si="18"/>
        <v>0</v>
      </c>
      <c r="CL745" s="1360"/>
      <c r="CM745" s="1342">
        <f t="shared" si="19"/>
        <v>0</v>
      </c>
      <c r="CN745" s="1344"/>
      <c r="CO745" s="3"/>
      <c r="CP745" s="1339">
        <f t="shared" si="20"/>
        <v>0</v>
      </c>
      <c r="CQ745" s="1340"/>
      <c r="CR745" s="1340"/>
      <c r="CS745" s="1340"/>
      <c r="CT745" s="1341"/>
      <c r="CU745" s="1361">
        <f t="shared" si="21"/>
        <v>0</v>
      </c>
      <c r="CV745" s="1361"/>
      <c r="CW745" s="1361"/>
      <c r="CX745" s="1361"/>
      <c r="CY745" s="1361"/>
      <c r="CZ745" s="1361">
        <f t="shared" si="22"/>
        <v>0</v>
      </c>
      <c r="DA745" s="1361"/>
      <c r="DB745" s="1361"/>
      <c r="DC745" s="1361"/>
      <c r="DD745" s="1361"/>
      <c r="DE745" s="1361">
        <f t="shared" si="23"/>
        <v>0</v>
      </c>
      <c r="DF745" s="1361"/>
      <c r="DG745" s="1361"/>
      <c r="DH745" s="1361"/>
      <c r="DI745" s="1361"/>
      <c r="DJ745" s="1361">
        <f t="shared" si="24"/>
        <v>0</v>
      </c>
      <c r="DK745" s="1361"/>
      <c r="DL745" s="1361"/>
      <c r="DM745" s="1361"/>
      <c r="DN745" s="1361"/>
      <c r="DO745" s="1361">
        <f t="shared" si="25"/>
        <v>0</v>
      </c>
      <c r="DP745" s="1361"/>
      <c r="DQ745" s="1361"/>
      <c r="DR745" s="1361"/>
      <c r="DS745" s="1361"/>
      <c r="DT745" s="6"/>
      <c r="DU745" s="1382">
        <f t="shared" si="26"/>
        <v>0</v>
      </c>
      <c r="DV745" s="1382"/>
      <c r="DW745" s="1382"/>
      <c r="DX745" s="1382"/>
      <c r="DY745" s="1382"/>
      <c r="DZ745" s="1382">
        <f t="shared" si="27"/>
        <v>0</v>
      </c>
      <c r="EA745" s="1382"/>
      <c r="EB745" s="1382"/>
      <c r="EC745" s="1382"/>
      <c r="ED745" s="1382"/>
      <c r="EE745" s="1382">
        <f t="shared" si="28"/>
        <v>0</v>
      </c>
      <c r="EF745" s="1382"/>
      <c r="EG745" s="1382"/>
      <c r="EH745" s="1382"/>
      <c r="EI745" s="1382"/>
      <c r="EJ745" s="1382">
        <f t="shared" si="29"/>
        <v>0</v>
      </c>
      <c r="EK745" s="1382"/>
      <c r="EL745" s="1382"/>
      <c r="EM745" s="1382"/>
      <c r="EN745" s="1382"/>
      <c r="EO745" s="1382">
        <f t="shared" si="30"/>
        <v>0</v>
      </c>
      <c r="EP745" s="1382"/>
      <c r="EQ745" s="1382"/>
      <c r="ER745" s="1382"/>
      <c r="ES745" s="1382"/>
      <c r="ET745" s="1382">
        <f t="shared" si="31"/>
        <v>0</v>
      </c>
      <c r="EU745" s="1382"/>
      <c r="EV745" s="1382"/>
      <c r="EW745" s="1382"/>
      <c r="EX745" s="1382"/>
      <c r="EZ745" s="1358" t="str">
        <f t="shared" si="32"/>
        <v/>
      </c>
      <c r="FA745" s="1359"/>
      <c r="FB745" s="1359"/>
      <c r="FC745" s="1359"/>
      <c r="FD745" s="1360"/>
      <c r="FE745" s="1358" t="str">
        <f t="shared" si="33"/>
        <v/>
      </c>
      <c r="FF745" s="1359"/>
      <c r="FG745" s="1359"/>
      <c r="FH745" s="1359"/>
      <c r="FI745" s="1360"/>
      <c r="FJ745" s="1358" t="str">
        <f t="shared" si="34"/>
        <v/>
      </c>
      <c r="FK745" s="1359"/>
      <c r="FL745" s="1359"/>
      <c r="FM745" s="1359"/>
      <c r="FN745" s="1360"/>
      <c r="FO745" s="1358" t="str">
        <f t="shared" si="35"/>
        <v/>
      </c>
      <c r="FP745" s="1359"/>
      <c r="FQ745" s="1359"/>
      <c r="FR745" s="1359"/>
      <c r="FS745" s="1360"/>
      <c r="FT745" s="1358" t="str">
        <f t="shared" si="36"/>
        <v/>
      </c>
      <c r="FU745" s="1359"/>
      <c r="FV745" s="1359"/>
      <c r="FW745" s="1359"/>
      <c r="FX745" s="1360"/>
      <c r="FY745" s="1358" t="str">
        <f t="shared" si="37"/>
        <v/>
      </c>
      <c r="FZ745" s="1359"/>
      <c r="GA745" s="1359"/>
      <c r="GB745" s="1359"/>
      <c r="GC745" s="1360"/>
    </row>
    <row r="746" spans="1:185" ht="12.95" customHeight="1">
      <c r="B746" s="1362"/>
      <c r="C746" s="1363"/>
      <c r="D746" s="1363"/>
      <c r="E746" s="1363"/>
      <c r="F746" s="1364"/>
      <c r="G746" s="1371"/>
      <c r="H746" s="1372"/>
      <c r="I746" s="1372"/>
      <c r="J746" s="1373"/>
      <c r="K746" s="1489"/>
      <c r="L746" s="1490"/>
      <c r="M746" s="1490"/>
      <c r="N746" s="1491"/>
      <c r="O746" s="1378"/>
      <c r="P746" s="1379"/>
      <c r="Q746" s="1379"/>
      <c r="R746" s="1379"/>
      <c r="S746" s="1380"/>
      <c r="T746" s="1378"/>
      <c r="U746" s="1379"/>
      <c r="V746" s="1379"/>
      <c r="W746" s="1380"/>
      <c r="X746" s="1365">
        <f t="shared" si="10"/>
        <v>0</v>
      </c>
      <c r="Y746" s="1366"/>
      <c r="Z746" s="1366"/>
      <c r="AA746" s="1366"/>
      <c r="AB746" s="1367"/>
      <c r="AC746" s="1375"/>
      <c r="AD746" s="1376"/>
      <c r="AE746" s="1376"/>
      <c r="AF746" s="1376"/>
      <c r="AG746" s="1377"/>
      <c r="AH746" s="1368" t="str">
        <f t="shared" si="38"/>
        <v/>
      </c>
      <c r="AI746" s="1369"/>
      <c r="AJ746" s="1370"/>
      <c r="AK746" s="1362" t="s">
        <v>591</v>
      </c>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8">
        <f t="shared" si="39"/>
        <v>0</v>
      </c>
      <c r="CH746" s="1360"/>
      <c r="CI746" s="1342">
        <f t="shared" si="40"/>
        <v>0</v>
      </c>
      <c r="CJ746" s="1344"/>
      <c r="CK746" s="1358">
        <f t="shared" si="18"/>
        <v>0</v>
      </c>
      <c r="CL746" s="1360"/>
      <c r="CM746" s="1342">
        <f t="shared" si="19"/>
        <v>0</v>
      </c>
      <c r="CN746" s="1344"/>
      <c r="CO746" s="3"/>
      <c r="CP746" s="1339">
        <f t="shared" si="20"/>
        <v>0</v>
      </c>
      <c r="CQ746" s="1340"/>
      <c r="CR746" s="1340"/>
      <c r="CS746" s="1340"/>
      <c r="CT746" s="1341"/>
      <c r="CU746" s="1361">
        <f t="shared" si="21"/>
        <v>0</v>
      </c>
      <c r="CV746" s="1361"/>
      <c r="CW746" s="1361"/>
      <c r="CX746" s="1361"/>
      <c r="CY746" s="1361"/>
      <c r="CZ746" s="1361">
        <f t="shared" si="22"/>
        <v>0</v>
      </c>
      <c r="DA746" s="1361"/>
      <c r="DB746" s="1361"/>
      <c r="DC746" s="1361"/>
      <c r="DD746" s="1361"/>
      <c r="DE746" s="1361">
        <f t="shared" si="23"/>
        <v>0</v>
      </c>
      <c r="DF746" s="1361"/>
      <c r="DG746" s="1361"/>
      <c r="DH746" s="1361"/>
      <c r="DI746" s="1361"/>
      <c r="DJ746" s="1361">
        <f t="shared" si="24"/>
        <v>0</v>
      </c>
      <c r="DK746" s="1361"/>
      <c r="DL746" s="1361"/>
      <c r="DM746" s="1361"/>
      <c r="DN746" s="1361"/>
      <c r="DO746" s="1361">
        <f t="shared" si="25"/>
        <v>0</v>
      </c>
      <c r="DP746" s="1361"/>
      <c r="DQ746" s="1361"/>
      <c r="DR746" s="1361"/>
      <c r="DS746" s="1361"/>
      <c r="DT746" s="6"/>
      <c r="DU746" s="1382">
        <f t="shared" si="26"/>
        <v>0</v>
      </c>
      <c r="DV746" s="1382"/>
      <c r="DW746" s="1382"/>
      <c r="DX746" s="1382"/>
      <c r="DY746" s="1382"/>
      <c r="DZ746" s="1382">
        <f t="shared" si="27"/>
        <v>0</v>
      </c>
      <c r="EA746" s="1382"/>
      <c r="EB746" s="1382"/>
      <c r="EC746" s="1382"/>
      <c r="ED746" s="1382"/>
      <c r="EE746" s="1382">
        <f t="shared" si="28"/>
        <v>0</v>
      </c>
      <c r="EF746" s="1382"/>
      <c r="EG746" s="1382"/>
      <c r="EH746" s="1382"/>
      <c r="EI746" s="1382"/>
      <c r="EJ746" s="1382">
        <f t="shared" si="29"/>
        <v>0</v>
      </c>
      <c r="EK746" s="1382"/>
      <c r="EL746" s="1382"/>
      <c r="EM746" s="1382"/>
      <c r="EN746" s="1382"/>
      <c r="EO746" s="1382">
        <f t="shared" si="30"/>
        <v>0</v>
      </c>
      <c r="EP746" s="1382"/>
      <c r="EQ746" s="1382"/>
      <c r="ER746" s="1382"/>
      <c r="ES746" s="1382"/>
      <c r="ET746" s="1382">
        <f t="shared" si="31"/>
        <v>0</v>
      </c>
      <c r="EU746" s="1382"/>
      <c r="EV746" s="1382"/>
      <c r="EW746" s="1382"/>
      <c r="EX746" s="1382"/>
      <c r="EZ746" s="1358" t="str">
        <f t="shared" si="32"/>
        <v/>
      </c>
      <c r="FA746" s="1359"/>
      <c r="FB746" s="1359"/>
      <c r="FC746" s="1359"/>
      <c r="FD746" s="1360"/>
      <c r="FE746" s="1358" t="str">
        <f t="shared" si="33"/>
        <v/>
      </c>
      <c r="FF746" s="1359"/>
      <c r="FG746" s="1359"/>
      <c r="FH746" s="1359"/>
      <c r="FI746" s="1360"/>
      <c r="FJ746" s="1358" t="str">
        <f t="shared" si="34"/>
        <v/>
      </c>
      <c r="FK746" s="1359"/>
      <c r="FL746" s="1359"/>
      <c r="FM746" s="1359"/>
      <c r="FN746" s="1360"/>
      <c r="FO746" s="1358" t="str">
        <f t="shared" si="35"/>
        <v/>
      </c>
      <c r="FP746" s="1359"/>
      <c r="FQ746" s="1359"/>
      <c r="FR746" s="1359"/>
      <c r="FS746" s="1360"/>
      <c r="FT746" s="1358" t="str">
        <f t="shared" si="36"/>
        <v/>
      </c>
      <c r="FU746" s="1359"/>
      <c r="FV746" s="1359"/>
      <c r="FW746" s="1359"/>
      <c r="FX746" s="1360"/>
      <c r="FY746" s="1358" t="str">
        <f t="shared" si="37"/>
        <v/>
      </c>
      <c r="FZ746" s="1359"/>
      <c r="GA746" s="1359"/>
      <c r="GB746" s="1359"/>
      <c r="GC746" s="1360"/>
    </row>
    <row r="747" spans="1:185" ht="12.95" customHeight="1">
      <c r="B747" s="1362"/>
      <c r="C747" s="1363"/>
      <c r="D747" s="1363"/>
      <c r="E747" s="1363"/>
      <c r="F747" s="1364"/>
      <c r="G747" s="1371"/>
      <c r="H747" s="1372"/>
      <c r="I747" s="1372"/>
      <c r="J747" s="1373"/>
      <c r="K747" s="1489"/>
      <c r="L747" s="1490"/>
      <c r="M747" s="1490"/>
      <c r="N747" s="1491"/>
      <c r="O747" s="1378"/>
      <c r="P747" s="1379"/>
      <c r="Q747" s="1379"/>
      <c r="R747" s="1379"/>
      <c r="S747" s="1380"/>
      <c r="T747" s="1378"/>
      <c r="U747" s="1379"/>
      <c r="V747" s="1379"/>
      <c r="W747" s="1380"/>
      <c r="X747" s="1365">
        <f t="shared" si="10"/>
        <v>0</v>
      </c>
      <c r="Y747" s="1366"/>
      <c r="Z747" s="1366"/>
      <c r="AA747" s="1366"/>
      <c r="AB747" s="1367"/>
      <c r="AC747" s="1375"/>
      <c r="AD747" s="1376"/>
      <c r="AE747" s="1376"/>
      <c r="AF747" s="1376"/>
      <c r="AG747" s="1377"/>
      <c r="AH747" s="1368" t="str">
        <f t="shared" si="38"/>
        <v/>
      </c>
      <c r="AI747" s="1369"/>
      <c r="AJ747" s="1370"/>
      <c r="AK747" s="1362" t="s">
        <v>591</v>
      </c>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8">
        <f t="shared" si="39"/>
        <v>0</v>
      </c>
      <c r="CH747" s="1360"/>
      <c r="CI747" s="1342">
        <f t="shared" si="40"/>
        <v>0</v>
      </c>
      <c r="CJ747" s="1344"/>
      <c r="CK747" s="1358">
        <f t="shared" si="18"/>
        <v>0</v>
      </c>
      <c r="CL747" s="1360"/>
      <c r="CM747" s="1342">
        <f t="shared" si="19"/>
        <v>0</v>
      </c>
      <c r="CN747" s="1344"/>
      <c r="CO747" s="3"/>
      <c r="CP747" s="1339">
        <f t="shared" si="20"/>
        <v>0</v>
      </c>
      <c r="CQ747" s="1340"/>
      <c r="CR747" s="1340"/>
      <c r="CS747" s="1340"/>
      <c r="CT747" s="1341"/>
      <c r="CU747" s="1361">
        <f t="shared" si="21"/>
        <v>0</v>
      </c>
      <c r="CV747" s="1361"/>
      <c r="CW747" s="1361"/>
      <c r="CX747" s="1361"/>
      <c r="CY747" s="1361"/>
      <c r="CZ747" s="1361">
        <f t="shared" si="22"/>
        <v>0</v>
      </c>
      <c r="DA747" s="1361"/>
      <c r="DB747" s="1361"/>
      <c r="DC747" s="1361"/>
      <c r="DD747" s="1361"/>
      <c r="DE747" s="1361">
        <f t="shared" si="23"/>
        <v>0</v>
      </c>
      <c r="DF747" s="1361"/>
      <c r="DG747" s="1361"/>
      <c r="DH747" s="1361"/>
      <c r="DI747" s="1361"/>
      <c r="DJ747" s="1361">
        <f t="shared" si="24"/>
        <v>0</v>
      </c>
      <c r="DK747" s="1361"/>
      <c r="DL747" s="1361"/>
      <c r="DM747" s="1361"/>
      <c r="DN747" s="1361"/>
      <c r="DO747" s="1361">
        <f t="shared" si="25"/>
        <v>0</v>
      </c>
      <c r="DP747" s="1361"/>
      <c r="DQ747" s="1361"/>
      <c r="DR747" s="1361"/>
      <c r="DS747" s="1361"/>
      <c r="DT747" s="6"/>
      <c r="DU747" s="1382">
        <f t="shared" si="26"/>
        <v>0</v>
      </c>
      <c r="DV747" s="1382"/>
      <c r="DW747" s="1382"/>
      <c r="DX747" s="1382"/>
      <c r="DY747" s="1382"/>
      <c r="DZ747" s="1382">
        <f t="shared" si="27"/>
        <v>0</v>
      </c>
      <c r="EA747" s="1382"/>
      <c r="EB747" s="1382"/>
      <c r="EC747" s="1382"/>
      <c r="ED747" s="1382"/>
      <c r="EE747" s="1382">
        <f t="shared" si="28"/>
        <v>0</v>
      </c>
      <c r="EF747" s="1382"/>
      <c r="EG747" s="1382"/>
      <c r="EH747" s="1382"/>
      <c r="EI747" s="1382"/>
      <c r="EJ747" s="1382">
        <f t="shared" si="29"/>
        <v>0</v>
      </c>
      <c r="EK747" s="1382"/>
      <c r="EL747" s="1382"/>
      <c r="EM747" s="1382"/>
      <c r="EN747" s="1382"/>
      <c r="EO747" s="1382">
        <f t="shared" si="30"/>
        <v>0</v>
      </c>
      <c r="EP747" s="1382"/>
      <c r="EQ747" s="1382"/>
      <c r="ER747" s="1382"/>
      <c r="ES747" s="1382"/>
      <c r="ET747" s="1382">
        <f t="shared" si="31"/>
        <v>0</v>
      </c>
      <c r="EU747" s="1382"/>
      <c r="EV747" s="1382"/>
      <c r="EW747" s="1382"/>
      <c r="EX747" s="1382"/>
      <c r="EZ747" s="1358" t="str">
        <f t="shared" si="32"/>
        <v/>
      </c>
      <c r="FA747" s="1359"/>
      <c r="FB747" s="1359"/>
      <c r="FC747" s="1359"/>
      <c r="FD747" s="1360"/>
      <c r="FE747" s="1358" t="str">
        <f t="shared" si="33"/>
        <v/>
      </c>
      <c r="FF747" s="1359"/>
      <c r="FG747" s="1359"/>
      <c r="FH747" s="1359"/>
      <c r="FI747" s="1360"/>
      <c r="FJ747" s="1358" t="str">
        <f t="shared" si="34"/>
        <v/>
      </c>
      <c r="FK747" s="1359"/>
      <c r="FL747" s="1359"/>
      <c r="FM747" s="1359"/>
      <c r="FN747" s="1360"/>
      <c r="FO747" s="1358" t="str">
        <f t="shared" si="35"/>
        <v/>
      </c>
      <c r="FP747" s="1359"/>
      <c r="FQ747" s="1359"/>
      <c r="FR747" s="1359"/>
      <c r="FS747" s="1360"/>
      <c r="FT747" s="1358" t="str">
        <f t="shared" si="36"/>
        <v/>
      </c>
      <c r="FU747" s="1359"/>
      <c r="FV747" s="1359"/>
      <c r="FW747" s="1359"/>
      <c r="FX747" s="1360"/>
      <c r="FY747" s="1358" t="str">
        <f t="shared" si="37"/>
        <v/>
      </c>
      <c r="FZ747" s="1359"/>
      <c r="GA747" s="1359"/>
      <c r="GB747" s="1359"/>
      <c r="GC747" s="1360"/>
    </row>
    <row r="748" spans="1:185" ht="12.95" customHeight="1">
      <c r="B748" s="1362"/>
      <c r="C748" s="1363"/>
      <c r="D748" s="1363"/>
      <c r="E748" s="1363"/>
      <c r="F748" s="1364"/>
      <c r="G748" s="1371"/>
      <c r="H748" s="1372"/>
      <c r="I748" s="1372"/>
      <c r="J748" s="1373"/>
      <c r="K748" s="1489"/>
      <c r="L748" s="1490"/>
      <c r="M748" s="1490"/>
      <c r="N748" s="1491"/>
      <c r="O748" s="1378"/>
      <c r="P748" s="1379"/>
      <c r="Q748" s="1379"/>
      <c r="R748" s="1379"/>
      <c r="S748" s="1380"/>
      <c r="T748" s="1378"/>
      <c r="U748" s="1379"/>
      <c r="V748" s="1379"/>
      <c r="W748" s="1380"/>
      <c r="X748" s="1365">
        <f t="shared" si="10"/>
        <v>0</v>
      </c>
      <c r="Y748" s="1366"/>
      <c r="Z748" s="1366"/>
      <c r="AA748" s="1366"/>
      <c r="AB748" s="1367"/>
      <c r="AC748" s="1375"/>
      <c r="AD748" s="1376"/>
      <c r="AE748" s="1376"/>
      <c r="AF748" s="1376"/>
      <c r="AG748" s="1377"/>
      <c r="AH748" s="1368" t="str">
        <f t="shared" si="38"/>
        <v/>
      </c>
      <c r="AI748" s="1369"/>
      <c r="AJ748" s="1370"/>
      <c r="AK748" s="1362" t="s">
        <v>591</v>
      </c>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8">
        <f t="shared" si="39"/>
        <v>0</v>
      </c>
      <c r="CH748" s="1360"/>
      <c r="CI748" s="1342">
        <f t="shared" si="40"/>
        <v>0</v>
      </c>
      <c r="CJ748" s="1344"/>
      <c r="CK748" s="1358">
        <f t="shared" si="18"/>
        <v>0</v>
      </c>
      <c r="CL748" s="1360"/>
      <c r="CM748" s="1342">
        <f t="shared" si="19"/>
        <v>0</v>
      </c>
      <c r="CN748" s="1344"/>
      <c r="CO748" s="3"/>
      <c r="CP748" s="1339">
        <f t="shared" si="20"/>
        <v>0</v>
      </c>
      <c r="CQ748" s="1340"/>
      <c r="CR748" s="1340"/>
      <c r="CS748" s="1340"/>
      <c r="CT748" s="1341"/>
      <c r="CU748" s="1361">
        <f t="shared" si="21"/>
        <v>0</v>
      </c>
      <c r="CV748" s="1361"/>
      <c r="CW748" s="1361"/>
      <c r="CX748" s="1361"/>
      <c r="CY748" s="1361"/>
      <c r="CZ748" s="1361">
        <f t="shared" si="22"/>
        <v>0</v>
      </c>
      <c r="DA748" s="1361"/>
      <c r="DB748" s="1361"/>
      <c r="DC748" s="1361"/>
      <c r="DD748" s="1361"/>
      <c r="DE748" s="1361">
        <f t="shared" si="23"/>
        <v>0</v>
      </c>
      <c r="DF748" s="1361"/>
      <c r="DG748" s="1361"/>
      <c r="DH748" s="1361"/>
      <c r="DI748" s="1361"/>
      <c r="DJ748" s="1361">
        <f t="shared" si="24"/>
        <v>0</v>
      </c>
      <c r="DK748" s="1361"/>
      <c r="DL748" s="1361"/>
      <c r="DM748" s="1361"/>
      <c r="DN748" s="1361"/>
      <c r="DO748" s="1361">
        <f t="shared" si="25"/>
        <v>0</v>
      </c>
      <c r="DP748" s="1361"/>
      <c r="DQ748" s="1361"/>
      <c r="DR748" s="1361"/>
      <c r="DS748" s="1361"/>
      <c r="DT748" s="6"/>
      <c r="DU748" s="1382">
        <f t="shared" si="26"/>
        <v>0</v>
      </c>
      <c r="DV748" s="1382"/>
      <c r="DW748" s="1382"/>
      <c r="DX748" s="1382"/>
      <c r="DY748" s="1382"/>
      <c r="DZ748" s="1382">
        <f t="shared" si="27"/>
        <v>0</v>
      </c>
      <c r="EA748" s="1382"/>
      <c r="EB748" s="1382"/>
      <c r="EC748" s="1382"/>
      <c r="ED748" s="1382"/>
      <c r="EE748" s="1382">
        <f t="shared" si="28"/>
        <v>0</v>
      </c>
      <c r="EF748" s="1382"/>
      <c r="EG748" s="1382"/>
      <c r="EH748" s="1382"/>
      <c r="EI748" s="1382"/>
      <c r="EJ748" s="1382">
        <f t="shared" si="29"/>
        <v>0</v>
      </c>
      <c r="EK748" s="1382"/>
      <c r="EL748" s="1382"/>
      <c r="EM748" s="1382"/>
      <c r="EN748" s="1382"/>
      <c r="EO748" s="1382">
        <f t="shared" si="30"/>
        <v>0</v>
      </c>
      <c r="EP748" s="1382"/>
      <c r="EQ748" s="1382"/>
      <c r="ER748" s="1382"/>
      <c r="ES748" s="1382"/>
      <c r="ET748" s="1382">
        <f t="shared" si="31"/>
        <v>0</v>
      </c>
      <c r="EU748" s="1382"/>
      <c r="EV748" s="1382"/>
      <c r="EW748" s="1382"/>
      <c r="EX748" s="1382"/>
      <c r="EZ748" s="1358" t="str">
        <f t="shared" si="32"/>
        <v/>
      </c>
      <c r="FA748" s="1359"/>
      <c r="FB748" s="1359"/>
      <c r="FC748" s="1359"/>
      <c r="FD748" s="1360"/>
      <c r="FE748" s="1358" t="str">
        <f t="shared" si="33"/>
        <v/>
      </c>
      <c r="FF748" s="1359"/>
      <c r="FG748" s="1359"/>
      <c r="FH748" s="1359"/>
      <c r="FI748" s="1360"/>
      <c r="FJ748" s="1358" t="str">
        <f t="shared" si="34"/>
        <v/>
      </c>
      <c r="FK748" s="1359"/>
      <c r="FL748" s="1359"/>
      <c r="FM748" s="1359"/>
      <c r="FN748" s="1360"/>
      <c r="FO748" s="1358" t="str">
        <f t="shared" si="35"/>
        <v/>
      </c>
      <c r="FP748" s="1359"/>
      <c r="FQ748" s="1359"/>
      <c r="FR748" s="1359"/>
      <c r="FS748" s="1360"/>
      <c r="FT748" s="1358" t="str">
        <f t="shared" si="36"/>
        <v/>
      </c>
      <c r="FU748" s="1359"/>
      <c r="FV748" s="1359"/>
      <c r="FW748" s="1359"/>
      <c r="FX748" s="1360"/>
      <c r="FY748" s="1358" t="str">
        <f t="shared" si="37"/>
        <v/>
      </c>
      <c r="FZ748" s="1359"/>
      <c r="GA748" s="1359"/>
      <c r="GB748" s="1359"/>
      <c r="GC748" s="1360"/>
    </row>
    <row r="749" spans="1:185" ht="12.95" customHeight="1">
      <c r="B749" s="1362"/>
      <c r="C749" s="1363"/>
      <c r="D749" s="1363"/>
      <c r="E749" s="1363"/>
      <c r="F749" s="1364"/>
      <c r="G749" s="1371"/>
      <c r="H749" s="1372"/>
      <c r="I749" s="1372"/>
      <c r="J749" s="1373"/>
      <c r="K749" s="1489"/>
      <c r="L749" s="1490"/>
      <c r="M749" s="1490"/>
      <c r="N749" s="1491"/>
      <c r="O749" s="1378"/>
      <c r="P749" s="1379"/>
      <c r="Q749" s="1379"/>
      <c r="R749" s="1379"/>
      <c r="S749" s="1380"/>
      <c r="T749" s="1378"/>
      <c r="U749" s="1379"/>
      <c r="V749" s="1379"/>
      <c r="W749" s="1380"/>
      <c r="X749" s="1365">
        <f t="shared" si="10"/>
        <v>0</v>
      </c>
      <c r="Y749" s="1366"/>
      <c r="Z749" s="1366"/>
      <c r="AA749" s="1366"/>
      <c r="AB749" s="1367"/>
      <c r="AC749" s="1375"/>
      <c r="AD749" s="1376"/>
      <c r="AE749" s="1376"/>
      <c r="AF749" s="1376"/>
      <c r="AG749" s="1377"/>
      <c r="AH749" s="1368" t="str">
        <f t="shared" si="38"/>
        <v/>
      </c>
      <c r="AI749" s="1369"/>
      <c r="AJ749" s="1370"/>
      <c r="AK749" s="1362" t="s">
        <v>591</v>
      </c>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8">
        <f t="shared" si="39"/>
        <v>0</v>
      </c>
      <c r="CH749" s="1360"/>
      <c r="CI749" s="1342">
        <f t="shared" si="40"/>
        <v>0</v>
      </c>
      <c r="CJ749" s="1344"/>
      <c r="CK749" s="1358">
        <f t="shared" si="18"/>
        <v>0</v>
      </c>
      <c r="CL749" s="1360"/>
      <c r="CM749" s="1342">
        <f t="shared" si="19"/>
        <v>0</v>
      </c>
      <c r="CN749" s="1344"/>
      <c r="CO749" s="3"/>
      <c r="CP749" s="1339">
        <f t="shared" si="20"/>
        <v>0</v>
      </c>
      <c r="CQ749" s="1340"/>
      <c r="CR749" s="1340"/>
      <c r="CS749" s="1340"/>
      <c r="CT749" s="1341"/>
      <c r="CU749" s="1361">
        <f t="shared" si="21"/>
        <v>0</v>
      </c>
      <c r="CV749" s="1361"/>
      <c r="CW749" s="1361"/>
      <c r="CX749" s="1361"/>
      <c r="CY749" s="1361"/>
      <c r="CZ749" s="1361">
        <f t="shared" si="22"/>
        <v>0</v>
      </c>
      <c r="DA749" s="1361"/>
      <c r="DB749" s="1361"/>
      <c r="DC749" s="1361"/>
      <c r="DD749" s="1361"/>
      <c r="DE749" s="1361">
        <f t="shared" si="23"/>
        <v>0</v>
      </c>
      <c r="DF749" s="1361"/>
      <c r="DG749" s="1361"/>
      <c r="DH749" s="1361"/>
      <c r="DI749" s="1361"/>
      <c r="DJ749" s="1361">
        <f t="shared" si="24"/>
        <v>0</v>
      </c>
      <c r="DK749" s="1361"/>
      <c r="DL749" s="1361"/>
      <c r="DM749" s="1361"/>
      <c r="DN749" s="1361"/>
      <c r="DO749" s="1361">
        <f t="shared" si="25"/>
        <v>0</v>
      </c>
      <c r="DP749" s="1361"/>
      <c r="DQ749" s="1361"/>
      <c r="DR749" s="1361"/>
      <c r="DS749" s="1361"/>
      <c r="DT749" s="6"/>
      <c r="DU749" s="1382">
        <f t="shared" si="26"/>
        <v>0</v>
      </c>
      <c r="DV749" s="1382"/>
      <c r="DW749" s="1382"/>
      <c r="DX749" s="1382"/>
      <c r="DY749" s="1382"/>
      <c r="DZ749" s="1382">
        <f t="shared" si="27"/>
        <v>0</v>
      </c>
      <c r="EA749" s="1382"/>
      <c r="EB749" s="1382"/>
      <c r="EC749" s="1382"/>
      <c r="ED749" s="1382"/>
      <c r="EE749" s="1382">
        <f t="shared" si="28"/>
        <v>0</v>
      </c>
      <c r="EF749" s="1382"/>
      <c r="EG749" s="1382"/>
      <c r="EH749" s="1382"/>
      <c r="EI749" s="1382"/>
      <c r="EJ749" s="1382">
        <f t="shared" si="29"/>
        <v>0</v>
      </c>
      <c r="EK749" s="1382"/>
      <c r="EL749" s="1382"/>
      <c r="EM749" s="1382"/>
      <c r="EN749" s="1382"/>
      <c r="EO749" s="1382">
        <f t="shared" si="30"/>
        <v>0</v>
      </c>
      <c r="EP749" s="1382"/>
      <c r="EQ749" s="1382"/>
      <c r="ER749" s="1382"/>
      <c r="ES749" s="1382"/>
      <c r="ET749" s="1382">
        <f t="shared" si="31"/>
        <v>0</v>
      </c>
      <c r="EU749" s="1382"/>
      <c r="EV749" s="1382"/>
      <c r="EW749" s="1382"/>
      <c r="EX749" s="1382"/>
      <c r="EZ749" s="1358" t="str">
        <f t="shared" si="32"/>
        <v/>
      </c>
      <c r="FA749" s="1359"/>
      <c r="FB749" s="1359"/>
      <c r="FC749" s="1359"/>
      <c r="FD749" s="1360"/>
      <c r="FE749" s="1358" t="str">
        <f t="shared" si="33"/>
        <v/>
      </c>
      <c r="FF749" s="1359"/>
      <c r="FG749" s="1359"/>
      <c r="FH749" s="1359"/>
      <c r="FI749" s="1360"/>
      <c r="FJ749" s="1358" t="str">
        <f t="shared" si="34"/>
        <v/>
      </c>
      <c r="FK749" s="1359"/>
      <c r="FL749" s="1359"/>
      <c r="FM749" s="1359"/>
      <c r="FN749" s="1360"/>
      <c r="FO749" s="1358" t="str">
        <f t="shared" si="35"/>
        <v/>
      </c>
      <c r="FP749" s="1359"/>
      <c r="FQ749" s="1359"/>
      <c r="FR749" s="1359"/>
      <c r="FS749" s="1360"/>
      <c r="FT749" s="1358" t="str">
        <f t="shared" si="36"/>
        <v/>
      </c>
      <c r="FU749" s="1359"/>
      <c r="FV749" s="1359"/>
      <c r="FW749" s="1359"/>
      <c r="FX749" s="1360"/>
      <c r="FY749" s="1358" t="str">
        <f t="shared" si="37"/>
        <v/>
      </c>
      <c r="FZ749" s="1359"/>
      <c r="GA749" s="1359"/>
      <c r="GB749" s="1359"/>
      <c r="GC749" s="1360"/>
    </row>
    <row r="750" spans="1:185" ht="12.95" customHeight="1">
      <c r="B750" s="1362"/>
      <c r="C750" s="1363"/>
      <c r="D750" s="1363"/>
      <c r="E750" s="1363"/>
      <c r="F750" s="1364"/>
      <c r="G750" s="1371"/>
      <c r="H750" s="1372"/>
      <c r="I750" s="1372"/>
      <c r="J750" s="1373"/>
      <c r="K750" s="1489"/>
      <c r="L750" s="1490"/>
      <c r="M750" s="1490"/>
      <c r="N750" s="1491"/>
      <c r="O750" s="1378"/>
      <c r="P750" s="1379"/>
      <c r="Q750" s="1379"/>
      <c r="R750" s="1379"/>
      <c r="S750" s="1380"/>
      <c r="T750" s="1378"/>
      <c r="U750" s="1379"/>
      <c r="V750" s="1379"/>
      <c r="W750" s="1380"/>
      <c r="X750" s="1365">
        <f t="shared" ref="X750:X759" si="41">O750+T750</f>
        <v>0</v>
      </c>
      <c r="Y750" s="1366"/>
      <c r="Z750" s="1366"/>
      <c r="AA750" s="1366"/>
      <c r="AB750" s="1367"/>
      <c r="AC750" s="1375"/>
      <c r="AD750" s="1376"/>
      <c r="AE750" s="1376"/>
      <c r="AF750" s="1376"/>
      <c r="AG750" s="1377"/>
      <c r="AH750" s="1368" t="str">
        <f t="shared" si="38"/>
        <v/>
      </c>
      <c r="AI750" s="1369"/>
      <c r="AJ750" s="1370"/>
      <c r="AK750" s="1362" t="s">
        <v>591</v>
      </c>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8">
        <f t="shared" si="39"/>
        <v>0</v>
      </c>
      <c r="CH750" s="1360"/>
      <c r="CI750" s="1342">
        <f t="shared" si="40"/>
        <v>0</v>
      </c>
      <c r="CJ750" s="1344"/>
      <c r="CK750" s="1358">
        <f t="shared" si="18"/>
        <v>0</v>
      </c>
      <c r="CL750" s="1360"/>
      <c r="CM750" s="1342">
        <f t="shared" si="19"/>
        <v>0</v>
      </c>
      <c r="CN750" s="1344"/>
      <c r="CO750" s="3"/>
      <c r="CP750" s="1339">
        <f t="shared" si="20"/>
        <v>0</v>
      </c>
      <c r="CQ750" s="1340"/>
      <c r="CR750" s="1340"/>
      <c r="CS750" s="1340"/>
      <c r="CT750" s="1341"/>
      <c r="CU750" s="1361">
        <f t="shared" si="21"/>
        <v>0</v>
      </c>
      <c r="CV750" s="1361"/>
      <c r="CW750" s="1361"/>
      <c r="CX750" s="1361"/>
      <c r="CY750" s="1361"/>
      <c r="CZ750" s="1361">
        <f t="shared" si="22"/>
        <v>0</v>
      </c>
      <c r="DA750" s="1361"/>
      <c r="DB750" s="1361"/>
      <c r="DC750" s="1361"/>
      <c r="DD750" s="1361"/>
      <c r="DE750" s="1361">
        <f t="shared" si="23"/>
        <v>0</v>
      </c>
      <c r="DF750" s="1361"/>
      <c r="DG750" s="1361"/>
      <c r="DH750" s="1361"/>
      <c r="DI750" s="1361"/>
      <c r="DJ750" s="1361">
        <f t="shared" si="24"/>
        <v>0</v>
      </c>
      <c r="DK750" s="1361"/>
      <c r="DL750" s="1361"/>
      <c r="DM750" s="1361"/>
      <c r="DN750" s="1361"/>
      <c r="DO750" s="1361">
        <f t="shared" si="25"/>
        <v>0</v>
      </c>
      <c r="DP750" s="1361"/>
      <c r="DQ750" s="1361"/>
      <c r="DR750" s="1361"/>
      <c r="DS750" s="1361"/>
      <c r="DT750" s="6"/>
      <c r="DU750" s="1382">
        <f t="shared" si="26"/>
        <v>0</v>
      </c>
      <c r="DV750" s="1382"/>
      <c r="DW750" s="1382"/>
      <c r="DX750" s="1382"/>
      <c r="DY750" s="1382"/>
      <c r="DZ750" s="1382">
        <f t="shared" si="27"/>
        <v>0</v>
      </c>
      <c r="EA750" s="1382"/>
      <c r="EB750" s="1382"/>
      <c r="EC750" s="1382"/>
      <c r="ED750" s="1382"/>
      <c r="EE750" s="1382">
        <f t="shared" si="28"/>
        <v>0</v>
      </c>
      <c r="EF750" s="1382"/>
      <c r="EG750" s="1382"/>
      <c r="EH750" s="1382"/>
      <c r="EI750" s="1382"/>
      <c r="EJ750" s="1382">
        <f t="shared" si="29"/>
        <v>0</v>
      </c>
      <c r="EK750" s="1382"/>
      <c r="EL750" s="1382"/>
      <c r="EM750" s="1382"/>
      <c r="EN750" s="1382"/>
      <c r="EO750" s="1382">
        <f t="shared" si="30"/>
        <v>0</v>
      </c>
      <c r="EP750" s="1382"/>
      <c r="EQ750" s="1382"/>
      <c r="ER750" s="1382"/>
      <c r="ES750" s="1382"/>
      <c r="ET750" s="1382">
        <f t="shared" si="31"/>
        <v>0</v>
      </c>
      <c r="EU750" s="1382"/>
      <c r="EV750" s="1382"/>
      <c r="EW750" s="1382"/>
      <c r="EX750" s="1382"/>
      <c r="EZ750" s="1358" t="str">
        <f t="shared" si="32"/>
        <v/>
      </c>
      <c r="FA750" s="1359"/>
      <c r="FB750" s="1359"/>
      <c r="FC750" s="1359"/>
      <c r="FD750" s="1360"/>
      <c r="FE750" s="1358" t="str">
        <f t="shared" si="33"/>
        <v/>
      </c>
      <c r="FF750" s="1359"/>
      <c r="FG750" s="1359"/>
      <c r="FH750" s="1359"/>
      <c r="FI750" s="1360"/>
      <c r="FJ750" s="1358" t="str">
        <f t="shared" si="34"/>
        <v/>
      </c>
      <c r="FK750" s="1359"/>
      <c r="FL750" s="1359"/>
      <c r="FM750" s="1359"/>
      <c r="FN750" s="1360"/>
      <c r="FO750" s="1358" t="str">
        <f t="shared" si="35"/>
        <v/>
      </c>
      <c r="FP750" s="1359"/>
      <c r="FQ750" s="1359"/>
      <c r="FR750" s="1359"/>
      <c r="FS750" s="1360"/>
      <c r="FT750" s="1358" t="str">
        <f t="shared" si="36"/>
        <v/>
      </c>
      <c r="FU750" s="1359"/>
      <c r="FV750" s="1359"/>
      <c r="FW750" s="1359"/>
      <c r="FX750" s="1360"/>
      <c r="FY750" s="1358" t="str">
        <f t="shared" si="37"/>
        <v/>
      </c>
      <c r="FZ750" s="1359"/>
      <c r="GA750" s="1359"/>
      <c r="GB750" s="1359"/>
      <c r="GC750" s="1360"/>
    </row>
    <row r="751" spans="1:185" s="3" customFormat="1" ht="12.95" customHeight="1">
      <c r="A751"/>
      <c r="B751" s="1362"/>
      <c r="C751" s="1363"/>
      <c r="D751" s="1363"/>
      <c r="E751" s="1363"/>
      <c r="F751" s="1364"/>
      <c r="G751" s="1371"/>
      <c r="H751" s="1372"/>
      <c r="I751" s="1372"/>
      <c r="J751" s="1373"/>
      <c r="K751" s="1489"/>
      <c r="L751" s="1490"/>
      <c r="M751" s="1490"/>
      <c r="N751" s="1491"/>
      <c r="O751" s="1378"/>
      <c r="P751" s="1379"/>
      <c r="Q751" s="1379"/>
      <c r="R751" s="1379"/>
      <c r="S751" s="1380"/>
      <c r="T751" s="1378"/>
      <c r="U751" s="1379"/>
      <c r="V751" s="1379"/>
      <c r="W751" s="1380"/>
      <c r="X751" s="1365">
        <f t="shared" si="41"/>
        <v>0</v>
      </c>
      <c r="Y751" s="1366"/>
      <c r="Z751" s="1366"/>
      <c r="AA751" s="1366"/>
      <c r="AB751" s="1367"/>
      <c r="AC751" s="1375"/>
      <c r="AD751" s="1376"/>
      <c r="AE751" s="1376"/>
      <c r="AF751" s="1376"/>
      <c r="AG751" s="1377"/>
      <c r="AH751" s="1368" t="str">
        <f t="shared" si="38"/>
        <v/>
      </c>
      <c r="AI751" s="1369"/>
      <c r="AJ751" s="1370"/>
      <c r="AK751" s="1362" t="s">
        <v>591</v>
      </c>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8">
        <f t="shared" si="39"/>
        <v>0</v>
      </c>
      <c r="CH751" s="1360"/>
      <c r="CI751" s="1342">
        <f t="shared" si="40"/>
        <v>0</v>
      </c>
      <c r="CJ751" s="1344"/>
      <c r="CK751" s="1358">
        <f t="shared" si="18"/>
        <v>0</v>
      </c>
      <c r="CL751" s="1360"/>
      <c r="CM751" s="1342">
        <f t="shared" si="19"/>
        <v>0</v>
      </c>
      <c r="CN751" s="1344"/>
      <c r="CP751" s="1339">
        <f t="shared" si="20"/>
        <v>0</v>
      </c>
      <c r="CQ751" s="1340"/>
      <c r="CR751" s="1340"/>
      <c r="CS751" s="1340"/>
      <c r="CT751" s="1341"/>
      <c r="CU751" s="1361">
        <f t="shared" si="21"/>
        <v>0</v>
      </c>
      <c r="CV751" s="1361"/>
      <c r="CW751" s="1361"/>
      <c r="CX751" s="1361"/>
      <c r="CY751" s="1361"/>
      <c r="CZ751" s="1361">
        <f t="shared" si="22"/>
        <v>0</v>
      </c>
      <c r="DA751" s="1361"/>
      <c r="DB751" s="1361"/>
      <c r="DC751" s="1361"/>
      <c r="DD751" s="1361"/>
      <c r="DE751" s="1361">
        <f t="shared" si="23"/>
        <v>0</v>
      </c>
      <c r="DF751" s="1361"/>
      <c r="DG751" s="1361"/>
      <c r="DH751" s="1361"/>
      <c r="DI751" s="1361"/>
      <c r="DJ751" s="1361">
        <f t="shared" si="24"/>
        <v>0</v>
      </c>
      <c r="DK751" s="1361"/>
      <c r="DL751" s="1361"/>
      <c r="DM751" s="1361"/>
      <c r="DN751" s="1361"/>
      <c r="DO751" s="1361">
        <f t="shared" si="25"/>
        <v>0</v>
      </c>
      <c r="DP751" s="1361"/>
      <c r="DQ751" s="1361"/>
      <c r="DR751" s="1361"/>
      <c r="DS751" s="1361"/>
      <c r="DT751" s="6"/>
      <c r="DU751" s="1382">
        <f t="shared" si="26"/>
        <v>0</v>
      </c>
      <c r="DV751" s="1382"/>
      <c r="DW751" s="1382"/>
      <c r="DX751" s="1382"/>
      <c r="DY751" s="1382"/>
      <c r="DZ751" s="1382">
        <f t="shared" si="27"/>
        <v>0</v>
      </c>
      <c r="EA751" s="1382"/>
      <c r="EB751" s="1382"/>
      <c r="EC751" s="1382"/>
      <c r="ED751" s="1382"/>
      <c r="EE751" s="1382">
        <f t="shared" si="28"/>
        <v>0</v>
      </c>
      <c r="EF751" s="1382"/>
      <c r="EG751" s="1382"/>
      <c r="EH751" s="1382"/>
      <c r="EI751" s="1382"/>
      <c r="EJ751" s="1382">
        <f t="shared" si="29"/>
        <v>0</v>
      </c>
      <c r="EK751" s="1382"/>
      <c r="EL751" s="1382"/>
      <c r="EM751" s="1382"/>
      <c r="EN751" s="1382"/>
      <c r="EO751" s="1382">
        <f t="shared" si="30"/>
        <v>0</v>
      </c>
      <c r="EP751" s="1382"/>
      <c r="EQ751" s="1382"/>
      <c r="ER751" s="1382"/>
      <c r="ES751" s="1382"/>
      <c r="ET751" s="1382">
        <f t="shared" si="31"/>
        <v>0</v>
      </c>
      <c r="EU751" s="1382"/>
      <c r="EV751" s="1382"/>
      <c r="EW751" s="1382"/>
      <c r="EX751" s="1382"/>
      <c r="EY751"/>
      <c r="EZ751" s="1358" t="str">
        <f t="shared" si="32"/>
        <v/>
      </c>
      <c r="FA751" s="1359"/>
      <c r="FB751" s="1359"/>
      <c r="FC751" s="1359"/>
      <c r="FD751" s="1360"/>
      <c r="FE751" s="1358" t="str">
        <f t="shared" si="33"/>
        <v/>
      </c>
      <c r="FF751" s="1359"/>
      <c r="FG751" s="1359"/>
      <c r="FH751" s="1359"/>
      <c r="FI751" s="1360"/>
      <c r="FJ751" s="1358" t="str">
        <f t="shared" si="34"/>
        <v/>
      </c>
      <c r="FK751" s="1359"/>
      <c r="FL751" s="1359"/>
      <c r="FM751" s="1359"/>
      <c r="FN751" s="1360"/>
      <c r="FO751" s="1358" t="str">
        <f t="shared" si="35"/>
        <v/>
      </c>
      <c r="FP751" s="1359"/>
      <c r="FQ751" s="1359"/>
      <c r="FR751" s="1359"/>
      <c r="FS751" s="1360"/>
      <c r="FT751" s="1358" t="str">
        <f t="shared" si="36"/>
        <v/>
      </c>
      <c r="FU751" s="1359"/>
      <c r="FV751" s="1359"/>
      <c r="FW751" s="1359"/>
      <c r="FX751" s="1360"/>
      <c r="FY751" s="1358" t="str">
        <f t="shared" si="37"/>
        <v/>
      </c>
      <c r="FZ751" s="1359"/>
      <c r="GA751" s="1359"/>
      <c r="GB751" s="1359"/>
      <c r="GC751" s="1360"/>
    </row>
    <row r="752" spans="1:185" ht="12.95" customHeight="1">
      <c r="B752" s="1362"/>
      <c r="C752" s="1363"/>
      <c r="D752" s="1363"/>
      <c r="E752" s="1363"/>
      <c r="F752" s="1364"/>
      <c r="G752" s="1371"/>
      <c r="H752" s="1372"/>
      <c r="I752" s="1372"/>
      <c r="J752" s="1373"/>
      <c r="K752" s="1489"/>
      <c r="L752" s="1490"/>
      <c r="M752" s="1490"/>
      <c r="N752" s="1491"/>
      <c r="O752" s="1378"/>
      <c r="P752" s="1379"/>
      <c r="Q752" s="1379"/>
      <c r="R752" s="1379"/>
      <c r="S752" s="1380"/>
      <c r="T752" s="1378"/>
      <c r="U752" s="1379"/>
      <c r="V752" s="1379"/>
      <c r="W752" s="1380"/>
      <c r="X752" s="1365">
        <f t="shared" si="41"/>
        <v>0</v>
      </c>
      <c r="Y752" s="1366"/>
      <c r="Z752" s="1366"/>
      <c r="AA752" s="1366"/>
      <c r="AB752" s="1367"/>
      <c r="AC752" s="1375"/>
      <c r="AD752" s="1376"/>
      <c r="AE752" s="1376"/>
      <c r="AF752" s="1376"/>
      <c r="AG752" s="1377"/>
      <c r="AH752" s="1368" t="str">
        <f t="shared" si="38"/>
        <v/>
      </c>
      <c r="AI752" s="1369"/>
      <c r="AJ752" s="1370"/>
      <c r="AK752" s="1362" t="s">
        <v>591</v>
      </c>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8">
        <f t="shared" si="39"/>
        <v>0</v>
      </c>
      <c r="CH752" s="1360"/>
      <c r="CI752" s="1342">
        <f t="shared" si="40"/>
        <v>0</v>
      </c>
      <c r="CJ752" s="1344"/>
      <c r="CK752" s="1358">
        <f t="shared" si="18"/>
        <v>0</v>
      </c>
      <c r="CL752" s="1360"/>
      <c r="CM752" s="1342">
        <f t="shared" si="19"/>
        <v>0</v>
      </c>
      <c r="CN752" s="1344"/>
      <c r="CO752" s="3"/>
      <c r="CP752" s="1339">
        <f t="shared" si="20"/>
        <v>0</v>
      </c>
      <c r="CQ752" s="1340"/>
      <c r="CR752" s="1340"/>
      <c r="CS752" s="1340"/>
      <c r="CT752" s="1341"/>
      <c r="CU752" s="1361">
        <f t="shared" si="21"/>
        <v>0</v>
      </c>
      <c r="CV752" s="1361"/>
      <c r="CW752" s="1361"/>
      <c r="CX752" s="1361"/>
      <c r="CY752" s="1361"/>
      <c r="CZ752" s="1361">
        <f t="shared" si="22"/>
        <v>0</v>
      </c>
      <c r="DA752" s="1361"/>
      <c r="DB752" s="1361"/>
      <c r="DC752" s="1361"/>
      <c r="DD752" s="1361"/>
      <c r="DE752" s="1361">
        <f t="shared" si="23"/>
        <v>0</v>
      </c>
      <c r="DF752" s="1361"/>
      <c r="DG752" s="1361"/>
      <c r="DH752" s="1361"/>
      <c r="DI752" s="1361"/>
      <c r="DJ752" s="1361">
        <f t="shared" si="24"/>
        <v>0</v>
      </c>
      <c r="DK752" s="1361"/>
      <c r="DL752" s="1361"/>
      <c r="DM752" s="1361"/>
      <c r="DN752" s="1361"/>
      <c r="DO752" s="1361">
        <f t="shared" si="25"/>
        <v>0</v>
      </c>
      <c r="DP752" s="1361"/>
      <c r="DQ752" s="1361"/>
      <c r="DR752" s="1361"/>
      <c r="DS752" s="1361"/>
      <c r="DT752" s="6"/>
      <c r="DU752" s="1382">
        <f t="shared" si="26"/>
        <v>0</v>
      </c>
      <c r="DV752" s="1382"/>
      <c r="DW752" s="1382"/>
      <c r="DX752" s="1382"/>
      <c r="DY752" s="1382"/>
      <c r="DZ752" s="1382">
        <f t="shared" si="27"/>
        <v>0</v>
      </c>
      <c r="EA752" s="1382"/>
      <c r="EB752" s="1382"/>
      <c r="EC752" s="1382"/>
      <c r="ED752" s="1382"/>
      <c r="EE752" s="1382">
        <f t="shared" si="28"/>
        <v>0</v>
      </c>
      <c r="EF752" s="1382"/>
      <c r="EG752" s="1382"/>
      <c r="EH752" s="1382"/>
      <c r="EI752" s="1382"/>
      <c r="EJ752" s="1382">
        <f t="shared" si="29"/>
        <v>0</v>
      </c>
      <c r="EK752" s="1382"/>
      <c r="EL752" s="1382"/>
      <c r="EM752" s="1382"/>
      <c r="EN752" s="1382"/>
      <c r="EO752" s="1382">
        <f t="shared" si="30"/>
        <v>0</v>
      </c>
      <c r="EP752" s="1382"/>
      <c r="EQ752" s="1382"/>
      <c r="ER752" s="1382"/>
      <c r="ES752" s="1382"/>
      <c r="ET752" s="1382">
        <f t="shared" si="31"/>
        <v>0</v>
      </c>
      <c r="EU752" s="1382"/>
      <c r="EV752" s="1382"/>
      <c r="EW752" s="1382"/>
      <c r="EX752" s="1382"/>
      <c r="EZ752" s="1358" t="str">
        <f t="shared" si="32"/>
        <v/>
      </c>
      <c r="FA752" s="1359"/>
      <c r="FB752" s="1359"/>
      <c r="FC752" s="1359"/>
      <c r="FD752" s="1360"/>
      <c r="FE752" s="1358" t="str">
        <f t="shared" si="33"/>
        <v/>
      </c>
      <c r="FF752" s="1359"/>
      <c r="FG752" s="1359"/>
      <c r="FH752" s="1359"/>
      <c r="FI752" s="1360"/>
      <c r="FJ752" s="1358" t="str">
        <f t="shared" si="34"/>
        <v/>
      </c>
      <c r="FK752" s="1359"/>
      <c r="FL752" s="1359"/>
      <c r="FM752" s="1359"/>
      <c r="FN752" s="1360"/>
      <c r="FO752" s="1358" t="str">
        <f t="shared" si="35"/>
        <v/>
      </c>
      <c r="FP752" s="1359"/>
      <c r="FQ752" s="1359"/>
      <c r="FR752" s="1359"/>
      <c r="FS752" s="1360"/>
      <c r="FT752" s="1358" t="str">
        <f t="shared" si="36"/>
        <v/>
      </c>
      <c r="FU752" s="1359"/>
      <c r="FV752" s="1359"/>
      <c r="FW752" s="1359"/>
      <c r="FX752" s="1360"/>
      <c r="FY752" s="1358" t="str">
        <f t="shared" si="37"/>
        <v/>
      </c>
      <c r="FZ752" s="1359"/>
      <c r="GA752" s="1359"/>
      <c r="GB752" s="1359"/>
      <c r="GC752" s="1360"/>
    </row>
    <row r="753" spans="1:185" ht="12.95" customHeight="1">
      <c r="B753" s="1362"/>
      <c r="C753" s="1363"/>
      <c r="D753" s="1363"/>
      <c r="E753" s="1363"/>
      <c r="F753" s="1364"/>
      <c r="G753" s="1371"/>
      <c r="H753" s="1372"/>
      <c r="I753" s="1372"/>
      <c r="J753" s="1373"/>
      <c r="K753" s="1489"/>
      <c r="L753" s="1490"/>
      <c r="M753" s="1490"/>
      <c r="N753" s="1491"/>
      <c r="O753" s="1378"/>
      <c r="P753" s="1379"/>
      <c r="Q753" s="1379"/>
      <c r="R753" s="1379"/>
      <c r="S753" s="1380"/>
      <c r="T753" s="1378"/>
      <c r="U753" s="1379"/>
      <c r="V753" s="1379"/>
      <c r="W753" s="1380"/>
      <c r="X753" s="1365">
        <f t="shared" si="41"/>
        <v>0</v>
      </c>
      <c r="Y753" s="1366"/>
      <c r="Z753" s="1366"/>
      <c r="AA753" s="1366"/>
      <c r="AB753" s="1367"/>
      <c r="AC753" s="1375"/>
      <c r="AD753" s="1376"/>
      <c r="AE753" s="1376"/>
      <c r="AF753" s="1376"/>
      <c r="AG753" s="1377"/>
      <c r="AH753" s="1368" t="str">
        <f t="shared" si="38"/>
        <v/>
      </c>
      <c r="AI753" s="1369"/>
      <c r="AJ753" s="1370"/>
      <c r="AK753" s="1362" t="s">
        <v>591</v>
      </c>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8">
        <f t="shared" si="39"/>
        <v>0</v>
      </c>
      <c r="CH753" s="1360"/>
      <c r="CI753" s="1342">
        <f t="shared" si="40"/>
        <v>0</v>
      </c>
      <c r="CJ753" s="1344"/>
      <c r="CK753" s="1358">
        <f t="shared" si="18"/>
        <v>0</v>
      </c>
      <c r="CL753" s="1360"/>
      <c r="CM753" s="1342">
        <f t="shared" si="19"/>
        <v>0</v>
      </c>
      <c r="CN753" s="1344"/>
      <c r="CO753" s="3"/>
      <c r="CP753" s="1339">
        <f t="shared" si="20"/>
        <v>0</v>
      </c>
      <c r="CQ753" s="1340"/>
      <c r="CR753" s="1340"/>
      <c r="CS753" s="1340"/>
      <c r="CT753" s="1341"/>
      <c r="CU753" s="1361">
        <f t="shared" si="21"/>
        <v>0</v>
      </c>
      <c r="CV753" s="1361"/>
      <c r="CW753" s="1361"/>
      <c r="CX753" s="1361"/>
      <c r="CY753" s="1361"/>
      <c r="CZ753" s="1361">
        <f t="shared" si="22"/>
        <v>0</v>
      </c>
      <c r="DA753" s="1361"/>
      <c r="DB753" s="1361"/>
      <c r="DC753" s="1361"/>
      <c r="DD753" s="1361"/>
      <c r="DE753" s="1361">
        <f t="shared" si="23"/>
        <v>0</v>
      </c>
      <c r="DF753" s="1361"/>
      <c r="DG753" s="1361"/>
      <c r="DH753" s="1361"/>
      <c r="DI753" s="1361"/>
      <c r="DJ753" s="1361">
        <f t="shared" si="24"/>
        <v>0</v>
      </c>
      <c r="DK753" s="1361"/>
      <c r="DL753" s="1361"/>
      <c r="DM753" s="1361"/>
      <c r="DN753" s="1361"/>
      <c r="DO753" s="1361">
        <f t="shared" si="25"/>
        <v>0</v>
      </c>
      <c r="DP753" s="1361"/>
      <c r="DQ753" s="1361"/>
      <c r="DR753" s="1361"/>
      <c r="DS753" s="1361"/>
      <c r="DT753" s="6"/>
      <c r="DU753" s="1382">
        <f t="shared" si="26"/>
        <v>0</v>
      </c>
      <c r="DV753" s="1382"/>
      <c r="DW753" s="1382"/>
      <c r="DX753" s="1382"/>
      <c r="DY753" s="1382"/>
      <c r="DZ753" s="1382">
        <f t="shared" si="27"/>
        <v>0</v>
      </c>
      <c r="EA753" s="1382"/>
      <c r="EB753" s="1382"/>
      <c r="EC753" s="1382"/>
      <c r="ED753" s="1382"/>
      <c r="EE753" s="1382">
        <f t="shared" si="28"/>
        <v>0</v>
      </c>
      <c r="EF753" s="1382"/>
      <c r="EG753" s="1382"/>
      <c r="EH753" s="1382"/>
      <c r="EI753" s="1382"/>
      <c r="EJ753" s="1382">
        <f t="shared" si="29"/>
        <v>0</v>
      </c>
      <c r="EK753" s="1382"/>
      <c r="EL753" s="1382"/>
      <c r="EM753" s="1382"/>
      <c r="EN753" s="1382"/>
      <c r="EO753" s="1382">
        <f t="shared" si="30"/>
        <v>0</v>
      </c>
      <c r="EP753" s="1382"/>
      <c r="EQ753" s="1382"/>
      <c r="ER753" s="1382"/>
      <c r="ES753" s="1382"/>
      <c r="ET753" s="1382">
        <f t="shared" si="31"/>
        <v>0</v>
      </c>
      <c r="EU753" s="1382"/>
      <c r="EV753" s="1382"/>
      <c r="EW753" s="1382"/>
      <c r="EX753" s="1382"/>
      <c r="EZ753" s="1358" t="str">
        <f t="shared" si="32"/>
        <v/>
      </c>
      <c r="FA753" s="1359"/>
      <c r="FB753" s="1359"/>
      <c r="FC753" s="1359"/>
      <c r="FD753" s="1360"/>
      <c r="FE753" s="1358" t="str">
        <f t="shared" si="33"/>
        <v/>
      </c>
      <c r="FF753" s="1359"/>
      <c r="FG753" s="1359"/>
      <c r="FH753" s="1359"/>
      <c r="FI753" s="1360"/>
      <c r="FJ753" s="1358" t="str">
        <f t="shared" si="34"/>
        <v/>
      </c>
      <c r="FK753" s="1359"/>
      <c r="FL753" s="1359"/>
      <c r="FM753" s="1359"/>
      <c r="FN753" s="1360"/>
      <c r="FO753" s="1358" t="str">
        <f t="shared" si="35"/>
        <v/>
      </c>
      <c r="FP753" s="1359"/>
      <c r="FQ753" s="1359"/>
      <c r="FR753" s="1359"/>
      <c r="FS753" s="1360"/>
      <c r="FT753" s="1358" t="str">
        <f t="shared" si="36"/>
        <v/>
      </c>
      <c r="FU753" s="1359"/>
      <c r="FV753" s="1359"/>
      <c r="FW753" s="1359"/>
      <c r="FX753" s="1360"/>
      <c r="FY753" s="1358" t="str">
        <f t="shared" si="37"/>
        <v/>
      </c>
      <c r="FZ753" s="1359"/>
      <c r="GA753" s="1359"/>
      <c r="GB753" s="1359"/>
      <c r="GC753" s="1360"/>
    </row>
    <row r="754" spans="1:185" ht="12.95" customHeight="1">
      <c r="B754" s="1362"/>
      <c r="C754" s="1363"/>
      <c r="D754" s="1363"/>
      <c r="E754" s="1363"/>
      <c r="F754" s="1364"/>
      <c r="G754" s="1371"/>
      <c r="H754" s="1372"/>
      <c r="I754" s="1372"/>
      <c r="J754" s="1373"/>
      <c r="K754" s="1489"/>
      <c r="L754" s="1490"/>
      <c r="M754" s="1490"/>
      <c r="N754" s="1491"/>
      <c r="O754" s="1378"/>
      <c r="P754" s="1379"/>
      <c r="Q754" s="1379"/>
      <c r="R754" s="1379"/>
      <c r="S754" s="1380"/>
      <c r="T754" s="1378"/>
      <c r="U754" s="1379"/>
      <c r="V754" s="1379"/>
      <c r="W754" s="1380"/>
      <c r="X754" s="1365">
        <f t="shared" si="41"/>
        <v>0</v>
      </c>
      <c r="Y754" s="1366"/>
      <c r="Z754" s="1366"/>
      <c r="AA754" s="1366"/>
      <c r="AB754" s="1367"/>
      <c r="AC754" s="1375"/>
      <c r="AD754" s="1376"/>
      <c r="AE754" s="1376"/>
      <c r="AF754" s="1376"/>
      <c r="AG754" s="1377"/>
      <c r="AH754" s="1368" t="str">
        <f t="shared" si="38"/>
        <v/>
      </c>
      <c r="AI754" s="1369"/>
      <c r="AJ754" s="1370"/>
      <c r="AK754" s="1362" t="s">
        <v>591</v>
      </c>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8">
        <f t="shared" si="39"/>
        <v>0</v>
      </c>
      <c r="CH754" s="1360"/>
      <c r="CI754" s="1342">
        <f t="shared" si="40"/>
        <v>0</v>
      </c>
      <c r="CJ754" s="1344"/>
      <c r="CK754" s="1358">
        <f t="shared" si="18"/>
        <v>0</v>
      </c>
      <c r="CL754" s="1360"/>
      <c r="CM754" s="1342">
        <f t="shared" si="19"/>
        <v>0</v>
      </c>
      <c r="CN754" s="1344"/>
      <c r="CO754" s="3"/>
      <c r="CP754" s="1339">
        <f t="shared" si="20"/>
        <v>0</v>
      </c>
      <c r="CQ754" s="1340"/>
      <c r="CR754" s="1340"/>
      <c r="CS754" s="1340"/>
      <c r="CT754" s="1341"/>
      <c r="CU754" s="1361">
        <f t="shared" si="21"/>
        <v>0</v>
      </c>
      <c r="CV754" s="1361"/>
      <c r="CW754" s="1361"/>
      <c r="CX754" s="1361"/>
      <c r="CY754" s="1361"/>
      <c r="CZ754" s="1361">
        <f t="shared" si="22"/>
        <v>0</v>
      </c>
      <c r="DA754" s="1361"/>
      <c r="DB754" s="1361"/>
      <c r="DC754" s="1361"/>
      <c r="DD754" s="1361"/>
      <c r="DE754" s="1361">
        <f t="shared" si="23"/>
        <v>0</v>
      </c>
      <c r="DF754" s="1361"/>
      <c r="DG754" s="1361"/>
      <c r="DH754" s="1361"/>
      <c r="DI754" s="1361"/>
      <c r="DJ754" s="1361">
        <f t="shared" si="24"/>
        <v>0</v>
      </c>
      <c r="DK754" s="1361"/>
      <c r="DL754" s="1361"/>
      <c r="DM754" s="1361"/>
      <c r="DN754" s="1361"/>
      <c r="DO754" s="1361">
        <f t="shared" si="25"/>
        <v>0</v>
      </c>
      <c r="DP754" s="1361"/>
      <c r="DQ754" s="1361"/>
      <c r="DR754" s="1361"/>
      <c r="DS754" s="1361"/>
      <c r="DT754" s="6"/>
      <c r="DU754" s="1382">
        <f t="shared" si="26"/>
        <v>0</v>
      </c>
      <c r="DV754" s="1382"/>
      <c r="DW754" s="1382"/>
      <c r="DX754" s="1382"/>
      <c r="DY754" s="1382"/>
      <c r="DZ754" s="1382">
        <f t="shared" si="27"/>
        <v>0</v>
      </c>
      <c r="EA754" s="1382"/>
      <c r="EB754" s="1382"/>
      <c r="EC754" s="1382"/>
      <c r="ED754" s="1382"/>
      <c r="EE754" s="1382">
        <f t="shared" si="28"/>
        <v>0</v>
      </c>
      <c r="EF754" s="1382"/>
      <c r="EG754" s="1382"/>
      <c r="EH754" s="1382"/>
      <c r="EI754" s="1382"/>
      <c r="EJ754" s="1382">
        <f t="shared" si="29"/>
        <v>0</v>
      </c>
      <c r="EK754" s="1382"/>
      <c r="EL754" s="1382"/>
      <c r="EM754" s="1382"/>
      <c r="EN754" s="1382"/>
      <c r="EO754" s="1382">
        <f t="shared" si="30"/>
        <v>0</v>
      </c>
      <c r="EP754" s="1382"/>
      <c r="EQ754" s="1382"/>
      <c r="ER754" s="1382"/>
      <c r="ES754" s="1382"/>
      <c r="ET754" s="1382">
        <f t="shared" si="31"/>
        <v>0</v>
      </c>
      <c r="EU754" s="1382"/>
      <c r="EV754" s="1382"/>
      <c r="EW754" s="1382"/>
      <c r="EX754" s="1382"/>
      <c r="EZ754" s="1358" t="str">
        <f t="shared" si="32"/>
        <v/>
      </c>
      <c r="FA754" s="1359"/>
      <c r="FB754" s="1359"/>
      <c r="FC754" s="1359"/>
      <c r="FD754" s="1360"/>
      <c r="FE754" s="1358" t="str">
        <f t="shared" si="33"/>
        <v/>
      </c>
      <c r="FF754" s="1359"/>
      <c r="FG754" s="1359"/>
      <c r="FH754" s="1359"/>
      <c r="FI754" s="1360"/>
      <c r="FJ754" s="1358" t="str">
        <f t="shared" si="34"/>
        <v/>
      </c>
      <c r="FK754" s="1359"/>
      <c r="FL754" s="1359"/>
      <c r="FM754" s="1359"/>
      <c r="FN754" s="1360"/>
      <c r="FO754" s="1358" t="str">
        <f t="shared" si="35"/>
        <v/>
      </c>
      <c r="FP754" s="1359"/>
      <c r="FQ754" s="1359"/>
      <c r="FR754" s="1359"/>
      <c r="FS754" s="1360"/>
      <c r="FT754" s="1358" t="str">
        <f t="shared" si="36"/>
        <v/>
      </c>
      <c r="FU754" s="1359"/>
      <c r="FV754" s="1359"/>
      <c r="FW754" s="1359"/>
      <c r="FX754" s="1360"/>
      <c r="FY754" s="1358" t="str">
        <f t="shared" si="37"/>
        <v/>
      </c>
      <c r="FZ754" s="1359"/>
      <c r="GA754" s="1359"/>
      <c r="GB754" s="1359"/>
      <c r="GC754" s="1360"/>
    </row>
    <row r="755" spans="1:185" ht="12.95" customHeight="1">
      <c r="B755" s="1362"/>
      <c r="C755" s="1363"/>
      <c r="D755" s="1363"/>
      <c r="E755" s="1363"/>
      <c r="F755" s="1364"/>
      <c r="G755" s="1371"/>
      <c r="H755" s="1372"/>
      <c r="I755" s="1372"/>
      <c r="J755" s="1373"/>
      <c r="K755" s="1489"/>
      <c r="L755" s="1490"/>
      <c r="M755" s="1490"/>
      <c r="N755" s="1491"/>
      <c r="O755" s="1378"/>
      <c r="P755" s="1379"/>
      <c r="Q755" s="1379"/>
      <c r="R755" s="1379"/>
      <c r="S755" s="1380"/>
      <c r="T755" s="1378"/>
      <c r="U755" s="1379"/>
      <c r="V755" s="1379"/>
      <c r="W755" s="1380"/>
      <c r="X755" s="1365">
        <f t="shared" si="41"/>
        <v>0</v>
      </c>
      <c r="Y755" s="1366"/>
      <c r="Z755" s="1366"/>
      <c r="AA755" s="1366"/>
      <c r="AB755" s="1367"/>
      <c r="AC755" s="1375"/>
      <c r="AD755" s="1376"/>
      <c r="AE755" s="1376"/>
      <c r="AF755" s="1376"/>
      <c r="AG755" s="1377"/>
      <c r="AH755" s="1368" t="str">
        <f t="shared" si="38"/>
        <v/>
      </c>
      <c r="AI755" s="1369"/>
      <c r="AJ755" s="1370"/>
      <c r="AK755" s="1362" t="s">
        <v>591</v>
      </c>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8">
        <f t="shared" si="39"/>
        <v>0</v>
      </c>
      <c r="CH755" s="1360"/>
      <c r="CI755" s="1342">
        <f t="shared" si="40"/>
        <v>0</v>
      </c>
      <c r="CJ755" s="1344"/>
      <c r="CK755" s="1358">
        <f t="shared" si="18"/>
        <v>0</v>
      </c>
      <c r="CL755" s="1360"/>
      <c r="CM755" s="1342">
        <f t="shared" si="19"/>
        <v>0</v>
      </c>
      <c r="CN755" s="1344"/>
      <c r="CO755" s="3"/>
      <c r="CP755" s="1339">
        <f t="shared" si="20"/>
        <v>0</v>
      </c>
      <c r="CQ755" s="1340"/>
      <c r="CR755" s="1340"/>
      <c r="CS755" s="1340"/>
      <c r="CT755" s="1341"/>
      <c r="CU755" s="1361">
        <f t="shared" si="21"/>
        <v>0</v>
      </c>
      <c r="CV755" s="1361"/>
      <c r="CW755" s="1361"/>
      <c r="CX755" s="1361"/>
      <c r="CY755" s="1361"/>
      <c r="CZ755" s="1361">
        <f t="shared" si="22"/>
        <v>0</v>
      </c>
      <c r="DA755" s="1361"/>
      <c r="DB755" s="1361"/>
      <c r="DC755" s="1361"/>
      <c r="DD755" s="1361"/>
      <c r="DE755" s="1361">
        <f t="shared" si="23"/>
        <v>0</v>
      </c>
      <c r="DF755" s="1361"/>
      <c r="DG755" s="1361"/>
      <c r="DH755" s="1361"/>
      <c r="DI755" s="1361"/>
      <c r="DJ755" s="1361">
        <f t="shared" si="24"/>
        <v>0</v>
      </c>
      <c r="DK755" s="1361"/>
      <c r="DL755" s="1361"/>
      <c r="DM755" s="1361"/>
      <c r="DN755" s="1361"/>
      <c r="DO755" s="1361">
        <f t="shared" si="25"/>
        <v>0</v>
      </c>
      <c r="DP755" s="1361"/>
      <c r="DQ755" s="1361"/>
      <c r="DR755" s="1361"/>
      <c r="DS755" s="1361"/>
      <c r="DT755" s="6"/>
      <c r="DU755" s="1382">
        <f t="shared" si="26"/>
        <v>0</v>
      </c>
      <c r="DV755" s="1382"/>
      <c r="DW755" s="1382"/>
      <c r="DX755" s="1382"/>
      <c r="DY755" s="1382"/>
      <c r="DZ755" s="1382">
        <f t="shared" si="27"/>
        <v>0</v>
      </c>
      <c r="EA755" s="1382"/>
      <c r="EB755" s="1382"/>
      <c r="EC755" s="1382"/>
      <c r="ED755" s="1382"/>
      <c r="EE755" s="1382">
        <f t="shared" si="28"/>
        <v>0</v>
      </c>
      <c r="EF755" s="1382"/>
      <c r="EG755" s="1382"/>
      <c r="EH755" s="1382"/>
      <c r="EI755" s="1382"/>
      <c r="EJ755" s="1382">
        <f t="shared" si="29"/>
        <v>0</v>
      </c>
      <c r="EK755" s="1382"/>
      <c r="EL755" s="1382"/>
      <c r="EM755" s="1382"/>
      <c r="EN755" s="1382"/>
      <c r="EO755" s="1382">
        <f t="shared" si="30"/>
        <v>0</v>
      </c>
      <c r="EP755" s="1382"/>
      <c r="EQ755" s="1382"/>
      <c r="ER755" s="1382"/>
      <c r="ES755" s="1382"/>
      <c r="ET755" s="1382">
        <f t="shared" si="31"/>
        <v>0</v>
      </c>
      <c r="EU755" s="1382"/>
      <c r="EV755" s="1382"/>
      <c r="EW755" s="1382"/>
      <c r="EX755" s="1382"/>
      <c r="EZ755" s="1358" t="str">
        <f t="shared" si="32"/>
        <v/>
      </c>
      <c r="FA755" s="1359"/>
      <c r="FB755" s="1359"/>
      <c r="FC755" s="1359"/>
      <c r="FD755" s="1360"/>
      <c r="FE755" s="1358" t="str">
        <f t="shared" si="33"/>
        <v/>
      </c>
      <c r="FF755" s="1359"/>
      <c r="FG755" s="1359"/>
      <c r="FH755" s="1359"/>
      <c r="FI755" s="1360"/>
      <c r="FJ755" s="1358" t="str">
        <f t="shared" si="34"/>
        <v/>
      </c>
      <c r="FK755" s="1359"/>
      <c r="FL755" s="1359"/>
      <c r="FM755" s="1359"/>
      <c r="FN755" s="1360"/>
      <c r="FO755" s="1358" t="str">
        <f t="shared" si="35"/>
        <v/>
      </c>
      <c r="FP755" s="1359"/>
      <c r="FQ755" s="1359"/>
      <c r="FR755" s="1359"/>
      <c r="FS755" s="1360"/>
      <c r="FT755" s="1358" t="str">
        <f t="shared" si="36"/>
        <v/>
      </c>
      <c r="FU755" s="1359"/>
      <c r="FV755" s="1359"/>
      <c r="FW755" s="1359"/>
      <c r="FX755" s="1360"/>
      <c r="FY755" s="1358" t="str">
        <f t="shared" si="37"/>
        <v/>
      </c>
      <c r="FZ755" s="1359"/>
      <c r="GA755" s="1359"/>
      <c r="GB755" s="1359"/>
      <c r="GC755" s="1360"/>
    </row>
    <row r="756" spans="1:185" s="3" customFormat="1" ht="12.95" customHeight="1">
      <c r="A756"/>
      <c r="B756" s="1362"/>
      <c r="C756" s="1363"/>
      <c r="D756" s="1363"/>
      <c r="E756" s="1363"/>
      <c r="F756" s="1364"/>
      <c r="G756" s="1371"/>
      <c r="H756" s="1372"/>
      <c r="I756" s="1372"/>
      <c r="J756" s="1373"/>
      <c r="K756" s="1489"/>
      <c r="L756" s="1490"/>
      <c r="M756" s="1490"/>
      <c r="N756" s="1491"/>
      <c r="O756" s="1378"/>
      <c r="P756" s="1379"/>
      <c r="Q756" s="1379"/>
      <c r="R756" s="1379"/>
      <c r="S756" s="1380"/>
      <c r="T756" s="1378"/>
      <c r="U756" s="1379"/>
      <c r="V756" s="1379"/>
      <c r="W756" s="1380"/>
      <c r="X756" s="1365">
        <f t="shared" si="41"/>
        <v>0</v>
      </c>
      <c r="Y756" s="1366"/>
      <c r="Z756" s="1366"/>
      <c r="AA756" s="1366"/>
      <c r="AB756" s="1367"/>
      <c r="AC756" s="1375"/>
      <c r="AD756" s="1376"/>
      <c r="AE756" s="1376"/>
      <c r="AF756" s="1376"/>
      <c r="AG756" s="1377"/>
      <c r="AH756" s="1368" t="str">
        <f t="shared" si="38"/>
        <v/>
      </c>
      <c r="AI756" s="1369"/>
      <c r="AJ756" s="1370"/>
      <c r="AK756" s="1362" t="s">
        <v>591</v>
      </c>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8">
        <f t="shared" si="39"/>
        <v>0</v>
      </c>
      <c r="CH756" s="1360"/>
      <c r="CI756" s="1342">
        <f t="shared" si="40"/>
        <v>0</v>
      </c>
      <c r="CJ756" s="1344"/>
      <c r="CK756" s="1358">
        <f t="shared" si="18"/>
        <v>0</v>
      </c>
      <c r="CL756" s="1360"/>
      <c r="CM756" s="1342">
        <f t="shared" si="19"/>
        <v>0</v>
      </c>
      <c r="CN756" s="1344"/>
      <c r="CP756" s="1339">
        <f t="shared" si="20"/>
        <v>0</v>
      </c>
      <c r="CQ756" s="1340"/>
      <c r="CR756" s="1340"/>
      <c r="CS756" s="1340"/>
      <c r="CT756" s="1341"/>
      <c r="CU756" s="1361">
        <f t="shared" si="21"/>
        <v>0</v>
      </c>
      <c r="CV756" s="1361"/>
      <c r="CW756" s="1361"/>
      <c r="CX756" s="1361"/>
      <c r="CY756" s="1361"/>
      <c r="CZ756" s="1361">
        <f t="shared" si="22"/>
        <v>0</v>
      </c>
      <c r="DA756" s="1361"/>
      <c r="DB756" s="1361"/>
      <c r="DC756" s="1361"/>
      <c r="DD756" s="1361"/>
      <c r="DE756" s="1361">
        <f t="shared" si="23"/>
        <v>0</v>
      </c>
      <c r="DF756" s="1361"/>
      <c r="DG756" s="1361"/>
      <c r="DH756" s="1361"/>
      <c r="DI756" s="1361"/>
      <c r="DJ756" s="1361">
        <f t="shared" si="24"/>
        <v>0</v>
      </c>
      <c r="DK756" s="1361"/>
      <c r="DL756" s="1361"/>
      <c r="DM756" s="1361"/>
      <c r="DN756" s="1361"/>
      <c r="DO756" s="1361">
        <f t="shared" si="25"/>
        <v>0</v>
      </c>
      <c r="DP756" s="1361"/>
      <c r="DQ756" s="1361"/>
      <c r="DR756" s="1361"/>
      <c r="DS756" s="1361"/>
      <c r="DT756" s="6"/>
      <c r="DU756" s="1382">
        <f t="shared" si="26"/>
        <v>0</v>
      </c>
      <c r="DV756" s="1382"/>
      <c r="DW756" s="1382"/>
      <c r="DX756" s="1382"/>
      <c r="DY756" s="1382"/>
      <c r="DZ756" s="1382">
        <f t="shared" si="27"/>
        <v>0</v>
      </c>
      <c r="EA756" s="1382"/>
      <c r="EB756" s="1382"/>
      <c r="EC756" s="1382"/>
      <c r="ED756" s="1382"/>
      <c r="EE756" s="1382">
        <f t="shared" si="28"/>
        <v>0</v>
      </c>
      <c r="EF756" s="1382"/>
      <c r="EG756" s="1382"/>
      <c r="EH756" s="1382"/>
      <c r="EI756" s="1382"/>
      <c r="EJ756" s="1382">
        <f t="shared" si="29"/>
        <v>0</v>
      </c>
      <c r="EK756" s="1382"/>
      <c r="EL756" s="1382"/>
      <c r="EM756" s="1382"/>
      <c r="EN756" s="1382"/>
      <c r="EO756" s="1382">
        <f t="shared" si="30"/>
        <v>0</v>
      </c>
      <c r="EP756" s="1382"/>
      <c r="EQ756" s="1382"/>
      <c r="ER756" s="1382"/>
      <c r="ES756" s="1382"/>
      <c r="ET756" s="1382">
        <f t="shared" si="31"/>
        <v>0</v>
      </c>
      <c r="EU756" s="1382"/>
      <c r="EV756" s="1382"/>
      <c r="EW756" s="1382"/>
      <c r="EX756" s="1382"/>
      <c r="EY756"/>
      <c r="EZ756" s="1358" t="str">
        <f t="shared" si="32"/>
        <v/>
      </c>
      <c r="FA756" s="1359"/>
      <c r="FB756" s="1359"/>
      <c r="FC756" s="1359"/>
      <c r="FD756" s="1360"/>
      <c r="FE756" s="1358" t="str">
        <f t="shared" si="33"/>
        <v/>
      </c>
      <c r="FF756" s="1359"/>
      <c r="FG756" s="1359"/>
      <c r="FH756" s="1359"/>
      <c r="FI756" s="1360"/>
      <c r="FJ756" s="1358" t="str">
        <f t="shared" si="34"/>
        <v/>
      </c>
      <c r="FK756" s="1359"/>
      <c r="FL756" s="1359"/>
      <c r="FM756" s="1359"/>
      <c r="FN756" s="1360"/>
      <c r="FO756" s="1358" t="str">
        <f t="shared" si="35"/>
        <v/>
      </c>
      <c r="FP756" s="1359"/>
      <c r="FQ756" s="1359"/>
      <c r="FR756" s="1359"/>
      <c r="FS756" s="1360"/>
      <c r="FT756" s="1358" t="str">
        <f t="shared" si="36"/>
        <v/>
      </c>
      <c r="FU756" s="1359"/>
      <c r="FV756" s="1359"/>
      <c r="FW756" s="1359"/>
      <c r="FX756" s="1360"/>
      <c r="FY756" s="1358" t="str">
        <f t="shared" si="37"/>
        <v/>
      </c>
      <c r="FZ756" s="1359"/>
      <c r="GA756" s="1359"/>
      <c r="GB756" s="1359"/>
      <c r="GC756" s="1360"/>
    </row>
    <row r="757" spans="1:185" s="3" customFormat="1" ht="12.95" customHeight="1">
      <c r="A757"/>
      <c r="B757" s="1362"/>
      <c r="C757" s="1363"/>
      <c r="D757" s="1363"/>
      <c r="E757" s="1363"/>
      <c r="F757" s="1364"/>
      <c r="G757" s="1371"/>
      <c r="H757" s="1372"/>
      <c r="I757" s="1372"/>
      <c r="J757" s="1373"/>
      <c r="K757" s="1489"/>
      <c r="L757" s="1490"/>
      <c r="M757" s="1490"/>
      <c r="N757" s="1491"/>
      <c r="O757" s="1378"/>
      <c r="P757" s="1379"/>
      <c r="Q757" s="1379"/>
      <c r="R757" s="1379"/>
      <c r="S757" s="1380"/>
      <c r="T757" s="1378"/>
      <c r="U757" s="1379"/>
      <c r="V757" s="1379"/>
      <c r="W757" s="1380"/>
      <c r="X757" s="1365">
        <f t="shared" si="41"/>
        <v>0</v>
      </c>
      <c r="Y757" s="1366"/>
      <c r="Z757" s="1366"/>
      <c r="AA757" s="1366"/>
      <c r="AB757" s="1367"/>
      <c r="AC757" s="1375"/>
      <c r="AD757" s="1376"/>
      <c r="AE757" s="1376"/>
      <c r="AF757" s="1376"/>
      <c r="AG757" s="1377"/>
      <c r="AH757" s="1368" t="str">
        <f t="shared" si="38"/>
        <v/>
      </c>
      <c r="AI757" s="1369"/>
      <c r="AJ757" s="1370"/>
      <c r="AK757" s="1362" t="s">
        <v>591</v>
      </c>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8">
        <f t="shared" si="39"/>
        <v>0</v>
      </c>
      <c r="CH757" s="1360"/>
      <c r="CI757" s="1342">
        <f t="shared" si="40"/>
        <v>0</v>
      </c>
      <c r="CJ757" s="1344"/>
      <c r="CK757" s="1358">
        <f t="shared" si="18"/>
        <v>0</v>
      </c>
      <c r="CL757" s="1360"/>
      <c r="CM757" s="1342">
        <f t="shared" si="19"/>
        <v>0</v>
      </c>
      <c r="CN757" s="1344"/>
      <c r="CP757" s="1339">
        <f t="shared" si="20"/>
        <v>0</v>
      </c>
      <c r="CQ757" s="1340"/>
      <c r="CR757" s="1340"/>
      <c r="CS757" s="1340"/>
      <c r="CT757" s="1341"/>
      <c r="CU757" s="1361">
        <f t="shared" si="21"/>
        <v>0</v>
      </c>
      <c r="CV757" s="1361"/>
      <c r="CW757" s="1361"/>
      <c r="CX757" s="1361"/>
      <c r="CY757" s="1361"/>
      <c r="CZ757" s="1361">
        <f t="shared" si="22"/>
        <v>0</v>
      </c>
      <c r="DA757" s="1361"/>
      <c r="DB757" s="1361"/>
      <c r="DC757" s="1361"/>
      <c r="DD757" s="1361"/>
      <c r="DE757" s="1361">
        <f t="shared" si="23"/>
        <v>0</v>
      </c>
      <c r="DF757" s="1361"/>
      <c r="DG757" s="1361"/>
      <c r="DH757" s="1361"/>
      <c r="DI757" s="1361"/>
      <c r="DJ757" s="1361">
        <f t="shared" si="24"/>
        <v>0</v>
      </c>
      <c r="DK757" s="1361"/>
      <c r="DL757" s="1361"/>
      <c r="DM757" s="1361"/>
      <c r="DN757" s="1361"/>
      <c r="DO757" s="1361">
        <f t="shared" si="25"/>
        <v>0</v>
      </c>
      <c r="DP757" s="1361"/>
      <c r="DQ757" s="1361"/>
      <c r="DR757" s="1361"/>
      <c r="DS757" s="1361"/>
      <c r="DT757" s="6"/>
      <c r="DU757" s="1382">
        <f t="shared" si="26"/>
        <v>0</v>
      </c>
      <c r="DV757" s="1382"/>
      <c r="DW757" s="1382"/>
      <c r="DX757" s="1382"/>
      <c r="DY757" s="1382"/>
      <c r="DZ757" s="1382">
        <f t="shared" si="27"/>
        <v>0</v>
      </c>
      <c r="EA757" s="1382"/>
      <c r="EB757" s="1382"/>
      <c r="EC757" s="1382"/>
      <c r="ED757" s="1382"/>
      <c r="EE757" s="1382">
        <f t="shared" si="28"/>
        <v>0</v>
      </c>
      <c r="EF757" s="1382"/>
      <c r="EG757" s="1382"/>
      <c r="EH757" s="1382"/>
      <c r="EI757" s="1382"/>
      <c r="EJ757" s="1382">
        <f t="shared" si="29"/>
        <v>0</v>
      </c>
      <c r="EK757" s="1382"/>
      <c r="EL757" s="1382"/>
      <c r="EM757" s="1382"/>
      <c r="EN757" s="1382"/>
      <c r="EO757" s="1382">
        <f t="shared" si="30"/>
        <v>0</v>
      </c>
      <c r="EP757" s="1382"/>
      <c r="EQ757" s="1382"/>
      <c r="ER757" s="1382"/>
      <c r="ES757" s="1382"/>
      <c r="ET757" s="1382">
        <f t="shared" si="31"/>
        <v>0</v>
      </c>
      <c r="EU757" s="1382"/>
      <c r="EV757" s="1382"/>
      <c r="EW757" s="1382"/>
      <c r="EX757" s="1382"/>
      <c r="EY757"/>
      <c r="EZ757" s="1358" t="str">
        <f t="shared" si="32"/>
        <v/>
      </c>
      <c r="FA757" s="1359"/>
      <c r="FB757" s="1359"/>
      <c r="FC757" s="1359"/>
      <c r="FD757" s="1360"/>
      <c r="FE757" s="1358" t="str">
        <f t="shared" si="33"/>
        <v/>
      </c>
      <c r="FF757" s="1359"/>
      <c r="FG757" s="1359"/>
      <c r="FH757" s="1359"/>
      <c r="FI757" s="1360"/>
      <c r="FJ757" s="1358" t="str">
        <f t="shared" si="34"/>
        <v/>
      </c>
      <c r="FK757" s="1359"/>
      <c r="FL757" s="1359"/>
      <c r="FM757" s="1359"/>
      <c r="FN757" s="1360"/>
      <c r="FO757" s="1358" t="str">
        <f t="shared" si="35"/>
        <v/>
      </c>
      <c r="FP757" s="1359"/>
      <c r="FQ757" s="1359"/>
      <c r="FR757" s="1359"/>
      <c r="FS757" s="1360"/>
      <c r="FT757" s="1358" t="str">
        <f t="shared" si="36"/>
        <v/>
      </c>
      <c r="FU757" s="1359"/>
      <c r="FV757" s="1359"/>
      <c r="FW757" s="1359"/>
      <c r="FX757" s="1360"/>
      <c r="FY757" s="1358" t="str">
        <f t="shared" si="37"/>
        <v/>
      </c>
      <c r="FZ757" s="1359"/>
      <c r="GA757" s="1359"/>
      <c r="GB757" s="1359"/>
      <c r="GC757" s="1360"/>
    </row>
    <row r="758" spans="1:185" s="3" customFormat="1" ht="12.95" customHeight="1">
      <c r="A758"/>
      <c r="B758" s="1362"/>
      <c r="C758" s="1363"/>
      <c r="D758" s="1363"/>
      <c r="E758" s="1363"/>
      <c r="F758" s="1364"/>
      <c r="G758" s="1371"/>
      <c r="H758" s="1372"/>
      <c r="I758" s="1372"/>
      <c r="J758" s="1373"/>
      <c r="K758" s="1489"/>
      <c r="L758" s="1490"/>
      <c r="M758" s="1490"/>
      <c r="N758" s="1491"/>
      <c r="O758" s="1378"/>
      <c r="P758" s="1379"/>
      <c r="Q758" s="1379"/>
      <c r="R758" s="1379"/>
      <c r="S758" s="1380"/>
      <c r="T758" s="1378"/>
      <c r="U758" s="1379"/>
      <c r="V758" s="1379"/>
      <c r="W758" s="1380"/>
      <c r="X758" s="1365">
        <f t="shared" si="41"/>
        <v>0</v>
      </c>
      <c r="Y758" s="1366"/>
      <c r="Z758" s="1366"/>
      <c r="AA758" s="1366"/>
      <c r="AB758" s="1367"/>
      <c r="AC758" s="1375"/>
      <c r="AD758" s="1376"/>
      <c r="AE758" s="1376"/>
      <c r="AF758" s="1376"/>
      <c r="AG758" s="1377"/>
      <c r="AH758" s="1368" t="str">
        <f t="shared" si="38"/>
        <v/>
      </c>
      <c r="AI758" s="1369"/>
      <c r="AJ758" s="1370"/>
      <c r="AK758" s="1362" t="s">
        <v>591</v>
      </c>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8">
        <f t="shared" si="39"/>
        <v>0</v>
      </c>
      <c r="CH758" s="1360"/>
      <c r="CI758" s="1342">
        <f t="shared" si="40"/>
        <v>0</v>
      </c>
      <c r="CJ758" s="1344"/>
      <c r="CK758" s="1358">
        <f t="shared" si="18"/>
        <v>0</v>
      </c>
      <c r="CL758" s="1360"/>
      <c r="CM758" s="1342">
        <f t="shared" si="19"/>
        <v>0</v>
      </c>
      <c r="CN758" s="1344"/>
      <c r="CP758" s="1339">
        <f t="shared" si="20"/>
        <v>0</v>
      </c>
      <c r="CQ758" s="1340"/>
      <c r="CR758" s="1340"/>
      <c r="CS758" s="1340"/>
      <c r="CT758" s="1341"/>
      <c r="CU758" s="1361">
        <f t="shared" si="21"/>
        <v>0</v>
      </c>
      <c r="CV758" s="1361"/>
      <c r="CW758" s="1361"/>
      <c r="CX758" s="1361"/>
      <c r="CY758" s="1361"/>
      <c r="CZ758" s="1361">
        <f t="shared" si="22"/>
        <v>0</v>
      </c>
      <c r="DA758" s="1361"/>
      <c r="DB758" s="1361"/>
      <c r="DC758" s="1361"/>
      <c r="DD758" s="1361"/>
      <c r="DE758" s="1361">
        <f t="shared" si="23"/>
        <v>0</v>
      </c>
      <c r="DF758" s="1361"/>
      <c r="DG758" s="1361"/>
      <c r="DH758" s="1361"/>
      <c r="DI758" s="1361"/>
      <c r="DJ758" s="1361">
        <f t="shared" si="24"/>
        <v>0</v>
      </c>
      <c r="DK758" s="1361"/>
      <c r="DL758" s="1361"/>
      <c r="DM758" s="1361"/>
      <c r="DN758" s="1361"/>
      <c r="DO758" s="1361">
        <f t="shared" si="25"/>
        <v>0</v>
      </c>
      <c r="DP758" s="1361"/>
      <c r="DQ758" s="1361"/>
      <c r="DR758" s="1361"/>
      <c r="DS758" s="1361"/>
      <c r="DT758" s="6"/>
      <c r="DU758" s="1382">
        <f t="shared" si="26"/>
        <v>0</v>
      </c>
      <c r="DV758" s="1382"/>
      <c r="DW758" s="1382"/>
      <c r="DX758" s="1382"/>
      <c r="DY758" s="1382"/>
      <c r="DZ758" s="1382">
        <f t="shared" si="27"/>
        <v>0</v>
      </c>
      <c r="EA758" s="1382"/>
      <c r="EB758" s="1382"/>
      <c r="EC758" s="1382"/>
      <c r="ED758" s="1382"/>
      <c r="EE758" s="1382">
        <f t="shared" si="28"/>
        <v>0</v>
      </c>
      <c r="EF758" s="1382"/>
      <c r="EG758" s="1382"/>
      <c r="EH758" s="1382"/>
      <c r="EI758" s="1382"/>
      <c r="EJ758" s="1382">
        <f t="shared" si="29"/>
        <v>0</v>
      </c>
      <c r="EK758" s="1382"/>
      <c r="EL758" s="1382"/>
      <c r="EM758" s="1382"/>
      <c r="EN758" s="1382"/>
      <c r="EO758" s="1382">
        <f t="shared" si="30"/>
        <v>0</v>
      </c>
      <c r="EP758" s="1382"/>
      <c r="EQ758" s="1382"/>
      <c r="ER758" s="1382"/>
      <c r="ES758" s="1382"/>
      <c r="ET758" s="1382">
        <f t="shared" si="31"/>
        <v>0</v>
      </c>
      <c r="EU758" s="1382"/>
      <c r="EV758" s="1382"/>
      <c r="EW758" s="1382"/>
      <c r="EX758" s="1382"/>
      <c r="EY758"/>
      <c r="EZ758" s="1358" t="str">
        <f t="shared" si="32"/>
        <v/>
      </c>
      <c r="FA758" s="1359"/>
      <c r="FB758" s="1359"/>
      <c r="FC758" s="1359"/>
      <c r="FD758" s="1360"/>
      <c r="FE758" s="1358" t="str">
        <f t="shared" si="33"/>
        <v/>
      </c>
      <c r="FF758" s="1359"/>
      <c r="FG758" s="1359"/>
      <c r="FH758" s="1359"/>
      <c r="FI758" s="1360"/>
      <c r="FJ758" s="1358" t="str">
        <f t="shared" si="34"/>
        <v/>
      </c>
      <c r="FK758" s="1359"/>
      <c r="FL758" s="1359"/>
      <c r="FM758" s="1359"/>
      <c r="FN758" s="1360"/>
      <c r="FO758" s="1358" t="str">
        <f t="shared" si="35"/>
        <v/>
      </c>
      <c r="FP758" s="1359"/>
      <c r="FQ758" s="1359"/>
      <c r="FR758" s="1359"/>
      <c r="FS758" s="1360"/>
      <c r="FT758" s="1358" t="str">
        <f t="shared" si="36"/>
        <v/>
      </c>
      <c r="FU758" s="1359"/>
      <c r="FV758" s="1359"/>
      <c r="FW758" s="1359"/>
      <c r="FX758" s="1360"/>
      <c r="FY758" s="1358" t="str">
        <f t="shared" si="37"/>
        <v/>
      </c>
      <c r="FZ758" s="1359"/>
      <c r="GA758" s="1359"/>
      <c r="GB758" s="1359"/>
      <c r="GC758" s="1360"/>
    </row>
    <row r="759" spans="1:185" s="3" customFormat="1" ht="12.95" customHeight="1">
      <c r="A759"/>
      <c r="B759" s="1362"/>
      <c r="C759" s="1363"/>
      <c r="D759" s="1363"/>
      <c r="E759" s="1363"/>
      <c r="F759" s="1364"/>
      <c r="G759" s="1371"/>
      <c r="H759" s="1372"/>
      <c r="I759" s="1372"/>
      <c r="J759" s="1373"/>
      <c r="K759" s="1489"/>
      <c r="L759" s="1490"/>
      <c r="M759" s="1490"/>
      <c r="N759" s="1491"/>
      <c r="O759" s="1378"/>
      <c r="P759" s="1379"/>
      <c r="Q759" s="1379"/>
      <c r="R759" s="1379"/>
      <c r="S759" s="1380"/>
      <c r="T759" s="1378"/>
      <c r="U759" s="1379"/>
      <c r="V759" s="1379"/>
      <c r="W759" s="1380"/>
      <c r="X759" s="1365">
        <f t="shared" si="41"/>
        <v>0</v>
      </c>
      <c r="Y759" s="1366"/>
      <c r="Z759" s="1366"/>
      <c r="AA759" s="1366"/>
      <c r="AB759" s="1367"/>
      <c r="AC759" s="1375"/>
      <c r="AD759" s="1376"/>
      <c r="AE759" s="1376"/>
      <c r="AF759" s="1376"/>
      <c r="AG759" s="1377"/>
      <c r="AH759" s="1368" t="str">
        <f t="shared" si="38"/>
        <v/>
      </c>
      <c r="AI759" s="1369"/>
      <c r="AJ759" s="1370"/>
      <c r="AK759" s="1362" t="s">
        <v>591</v>
      </c>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8">
        <f t="shared" si="39"/>
        <v>0</v>
      </c>
      <c r="CH759" s="1360"/>
      <c r="CI759" s="1342">
        <f t="shared" si="40"/>
        <v>0</v>
      </c>
      <c r="CJ759" s="1344"/>
      <c r="CK759" s="1358">
        <f t="shared" si="18"/>
        <v>0</v>
      </c>
      <c r="CL759" s="1360"/>
      <c r="CM759" s="1342">
        <f t="shared" si="19"/>
        <v>0</v>
      </c>
      <c r="CN759" s="1344"/>
      <c r="CP759" s="1339">
        <f t="shared" si="20"/>
        <v>0</v>
      </c>
      <c r="CQ759" s="1340"/>
      <c r="CR759" s="1340"/>
      <c r="CS759" s="1340"/>
      <c r="CT759" s="1341"/>
      <c r="CU759" s="1361">
        <f t="shared" si="21"/>
        <v>0</v>
      </c>
      <c r="CV759" s="1361"/>
      <c r="CW759" s="1361"/>
      <c r="CX759" s="1361"/>
      <c r="CY759" s="1361"/>
      <c r="CZ759" s="1361">
        <f t="shared" si="22"/>
        <v>0</v>
      </c>
      <c r="DA759" s="1361"/>
      <c r="DB759" s="1361"/>
      <c r="DC759" s="1361"/>
      <c r="DD759" s="1361"/>
      <c r="DE759" s="1361">
        <f t="shared" si="23"/>
        <v>0</v>
      </c>
      <c r="DF759" s="1361"/>
      <c r="DG759" s="1361"/>
      <c r="DH759" s="1361"/>
      <c r="DI759" s="1361"/>
      <c r="DJ759" s="1361">
        <f t="shared" si="24"/>
        <v>0</v>
      </c>
      <c r="DK759" s="1361"/>
      <c r="DL759" s="1361"/>
      <c r="DM759" s="1361"/>
      <c r="DN759" s="1361"/>
      <c r="DO759" s="1361">
        <f t="shared" si="25"/>
        <v>0</v>
      </c>
      <c r="DP759" s="1361"/>
      <c r="DQ759" s="1361"/>
      <c r="DR759" s="1361"/>
      <c r="DS759" s="1361"/>
      <c r="DT759" s="6"/>
      <c r="DU759" s="1382">
        <f t="shared" si="26"/>
        <v>0</v>
      </c>
      <c r="DV759" s="1382"/>
      <c r="DW759" s="1382"/>
      <c r="DX759" s="1382"/>
      <c r="DY759" s="1382"/>
      <c r="DZ759" s="1382">
        <f t="shared" si="27"/>
        <v>0</v>
      </c>
      <c r="EA759" s="1382"/>
      <c r="EB759" s="1382"/>
      <c r="EC759" s="1382"/>
      <c r="ED759" s="1382"/>
      <c r="EE759" s="1382">
        <f t="shared" si="28"/>
        <v>0</v>
      </c>
      <c r="EF759" s="1382"/>
      <c r="EG759" s="1382"/>
      <c r="EH759" s="1382"/>
      <c r="EI759" s="1382"/>
      <c r="EJ759" s="1382">
        <f t="shared" si="29"/>
        <v>0</v>
      </c>
      <c r="EK759" s="1382"/>
      <c r="EL759" s="1382"/>
      <c r="EM759" s="1382"/>
      <c r="EN759" s="1382"/>
      <c r="EO759" s="1382">
        <f t="shared" si="30"/>
        <v>0</v>
      </c>
      <c r="EP759" s="1382"/>
      <c r="EQ759" s="1382"/>
      <c r="ER759" s="1382"/>
      <c r="ES759" s="1382"/>
      <c r="ET759" s="1382">
        <f t="shared" si="31"/>
        <v>0</v>
      </c>
      <c r="EU759" s="1382"/>
      <c r="EV759" s="1382"/>
      <c r="EW759" s="1382"/>
      <c r="EX759" s="1382"/>
      <c r="EY759"/>
      <c r="EZ759" s="1358" t="str">
        <f t="shared" si="32"/>
        <v/>
      </c>
      <c r="FA759" s="1359"/>
      <c r="FB759" s="1359"/>
      <c r="FC759" s="1359"/>
      <c r="FD759" s="1360"/>
      <c r="FE759" s="1358" t="str">
        <f t="shared" si="33"/>
        <v/>
      </c>
      <c r="FF759" s="1359"/>
      <c r="FG759" s="1359"/>
      <c r="FH759" s="1359"/>
      <c r="FI759" s="1360"/>
      <c r="FJ759" s="1358" t="str">
        <f t="shared" si="34"/>
        <v/>
      </c>
      <c r="FK759" s="1359"/>
      <c r="FL759" s="1359"/>
      <c r="FM759" s="1359"/>
      <c r="FN759" s="1360"/>
      <c r="FO759" s="1358" t="str">
        <f t="shared" si="35"/>
        <v/>
      </c>
      <c r="FP759" s="1359"/>
      <c r="FQ759" s="1359"/>
      <c r="FR759" s="1359"/>
      <c r="FS759" s="1360"/>
      <c r="FT759" s="1358" t="str">
        <f t="shared" si="36"/>
        <v/>
      </c>
      <c r="FU759" s="1359"/>
      <c r="FV759" s="1359"/>
      <c r="FW759" s="1359"/>
      <c r="FX759" s="1360"/>
      <c r="FY759" s="1358" t="str">
        <f t="shared" si="37"/>
        <v/>
      </c>
      <c r="FZ759" s="1359"/>
      <c r="GA759" s="1359"/>
      <c r="GB759" s="1359"/>
      <c r="GC759" s="1360"/>
    </row>
    <row r="760" spans="1:185" s="3" customFormat="1" ht="12.95" customHeight="1">
      <c r="A760"/>
      <c r="B760" s="1362"/>
      <c r="C760" s="1363"/>
      <c r="D760" s="1363"/>
      <c r="E760" s="1363"/>
      <c r="F760" s="1364"/>
      <c r="G760" s="1371"/>
      <c r="H760" s="1372"/>
      <c r="I760" s="1372"/>
      <c r="J760" s="1373"/>
      <c r="K760" s="1489"/>
      <c r="L760" s="1490"/>
      <c r="M760" s="1490"/>
      <c r="N760" s="1491"/>
      <c r="O760" s="1378"/>
      <c r="P760" s="1379"/>
      <c r="Q760" s="1379"/>
      <c r="R760" s="1379"/>
      <c r="S760" s="1380"/>
      <c r="T760" s="1378"/>
      <c r="U760" s="1379"/>
      <c r="V760" s="1379"/>
      <c r="W760" s="1380"/>
      <c r="X760" s="1365">
        <f>O760+T760</f>
        <v>0</v>
      </c>
      <c r="Y760" s="1366"/>
      <c r="Z760" s="1366"/>
      <c r="AA760" s="1366"/>
      <c r="AB760" s="1367"/>
      <c r="AC760" s="1375"/>
      <c r="AD760" s="1376"/>
      <c r="AE760" s="1376"/>
      <c r="AF760" s="1376"/>
      <c r="AG760" s="1377"/>
      <c r="AH760" s="1368" t="str">
        <f t="shared" si="38"/>
        <v/>
      </c>
      <c r="AI760" s="1369"/>
      <c r="AJ760" s="1370"/>
      <c r="AK760" s="1362" t="s">
        <v>591</v>
      </c>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8">
        <f t="shared" si="39"/>
        <v>0</v>
      </c>
      <c r="CH760" s="1360"/>
      <c r="CI760" s="1342">
        <f t="shared" si="40"/>
        <v>0</v>
      </c>
      <c r="CJ760" s="1344"/>
      <c r="CK760" s="1358">
        <f t="shared" si="18"/>
        <v>0</v>
      </c>
      <c r="CL760" s="1360"/>
      <c r="CM760" s="1342">
        <f t="shared" si="19"/>
        <v>0</v>
      </c>
      <c r="CN760" s="1344"/>
      <c r="CP760" s="1339">
        <f t="shared" si="20"/>
        <v>0</v>
      </c>
      <c r="CQ760" s="1340"/>
      <c r="CR760" s="1340"/>
      <c r="CS760" s="1340"/>
      <c r="CT760" s="1341"/>
      <c r="CU760" s="1361">
        <f t="shared" si="21"/>
        <v>0</v>
      </c>
      <c r="CV760" s="1361"/>
      <c r="CW760" s="1361"/>
      <c r="CX760" s="1361"/>
      <c r="CY760" s="1361"/>
      <c r="CZ760" s="1361">
        <f t="shared" si="22"/>
        <v>0</v>
      </c>
      <c r="DA760" s="1361"/>
      <c r="DB760" s="1361"/>
      <c r="DC760" s="1361"/>
      <c r="DD760" s="1361"/>
      <c r="DE760" s="1361">
        <f t="shared" si="23"/>
        <v>0</v>
      </c>
      <c r="DF760" s="1361"/>
      <c r="DG760" s="1361"/>
      <c r="DH760" s="1361"/>
      <c r="DI760" s="1361"/>
      <c r="DJ760" s="1361">
        <f t="shared" si="24"/>
        <v>0</v>
      </c>
      <c r="DK760" s="1361"/>
      <c r="DL760" s="1361"/>
      <c r="DM760" s="1361"/>
      <c r="DN760" s="1361"/>
      <c r="DO760" s="1361">
        <f t="shared" si="25"/>
        <v>0</v>
      </c>
      <c r="DP760" s="1361"/>
      <c r="DQ760" s="1361"/>
      <c r="DR760" s="1361"/>
      <c r="DS760" s="1361"/>
      <c r="DT760" s="6"/>
      <c r="DU760" s="1382">
        <f t="shared" si="26"/>
        <v>0</v>
      </c>
      <c r="DV760" s="1382"/>
      <c r="DW760" s="1382"/>
      <c r="DX760" s="1382"/>
      <c r="DY760" s="1382"/>
      <c r="DZ760" s="1382">
        <f t="shared" si="27"/>
        <v>0</v>
      </c>
      <c r="EA760" s="1382"/>
      <c r="EB760" s="1382"/>
      <c r="EC760" s="1382"/>
      <c r="ED760" s="1382"/>
      <c r="EE760" s="1382">
        <f t="shared" si="28"/>
        <v>0</v>
      </c>
      <c r="EF760" s="1382"/>
      <c r="EG760" s="1382"/>
      <c r="EH760" s="1382"/>
      <c r="EI760" s="1382"/>
      <c r="EJ760" s="1382">
        <f t="shared" si="29"/>
        <v>0</v>
      </c>
      <c r="EK760" s="1382"/>
      <c r="EL760" s="1382"/>
      <c r="EM760" s="1382"/>
      <c r="EN760" s="1382"/>
      <c r="EO760" s="1382">
        <f t="shared" si="30"/>
        <v>0</v>
      </c>
      <c r="EP760" s="1382"/>
      <c r="EQ760" s="1382"/>
      <c r="ER760" s="1382"/>
      <c r="ES760" s="1382"/>
      <c r="ET760" s="1382">
        <f t="shared" si="31"/>
        <v>0</v>
      </c>
      <c r="EU760" s="1382"/>
      <c r="EV760" s="1382"/>
      <c r="EW760" s="1382"/>
      <c r="EX760" s="1382"/>
      <c r="EY760"/>
      <c r="EZ760" s="1358" t="str">
        <f t="shared" si="32"/>
        <v/>
      </c>
      <c r="FA760" s="1359"/>
      <c r="FB760" s="1359"/>
      <c r="FC760" s="1359"/>
      <c r="FD760" s="1360"/>
      <c r="FE760" s="1358" t="str">
        <f t="shared" si="33"/>
        <v/>
      </c>
      <c r="FF760" s="1359"/>
      <c r="FG760" s="1359"/>
      <c r="FH760" s="1359"/>
      <c r="FI760" s="1360"/>
      <c r="FJ760" s="1358" t="str">
        <f t="shared" si="34"/>
        <v/>
      </c>
      <c r="FK760" s="1359"/>
      <c r="FL760" s="1359"/>
      <c r="FM760" s="1359"/>
      <c r="FN760" s="1360"/>
      <c r="FO760" s="1358" t="str">
        <f t="shared" si="35"/>
        <v/>
      </c>
      <c r="FP760" s="1359"/>
      <c r="FQ760" s="1359"/>
      <c r="FR760" s="1359"/>
      <c r="FS760" s="1360"/>
      <c r="FT760" s="1358" t="str">
        <f t="shared" si="36"/>
        <v/>
      </c>
      <c r="FU760" s="1359"/>
      <c r="FV760" s="1359"/>
      <c r="FW760" s="1359"/>
      <c r="FX760" s="1360"/>
      <c r="FY760" s="1358" t="str">
        <f t="shared" si="37"/>
        <v/>
      </c>
      <c r="FZ760" s="1359"/>
      <c r="GA760" s="1359"/>
      <c r="GB760" s="1359"/>
      <c r="GC760" s="1360"/>
    </row>
    <row r="761" spans="1:185" s="3" customFormat="1" ht="12.95" customHeight="1">
      <c r="A761"/>
      <c r="B761" s="1419" t="s">
        <v>125</v>
      </c>
      <c r="C761" s="1420"/>
      <c r="D761" s="1420"/>
      <c r="E761" s="1420"/>
      <c r="F761" s="1422"/>
      <c r="G761" s="1717">
        <f>SUM(G726:G760)</f>
        <v>146</v>
      </c>
      <c r="H761" s="1718"/>
      <c r="I761" s="1718"/>
      <c r="J761" s="1719"/>
      <c r="K761" s="898" t="s">
        <v>124</v>
      </c>
      <c r="L761" s="5"/>
      <c r="M761" s="5"/>
      <c r="N761" s="46"/>
      <c r="O761" s="1365">
        <f>SUMPRODUCT(G726:G760,O726:O760)</f>
        <v>271102.5</v>
      </c>
      <c r="P761" s="1366"/>
      <c r="Q761" s="1366"/>
      <c r="R761" s="1366"/>
      <c r="S761" s="1367"/>
      <c r="T761"/>
      <c r="U761"/>
      <c r="V761"/>
      <c r="W761"/>
      <c r="X761" s="900" t="s">
        <v>900</v>
      </c>
      <c r="Y761" s="899"/>
      <c r="Z761" s="899"/>
      <c r="AA761" s="899"/>
      <c r="AB761" s="901"/>
      <c r="AC761" s="1659">
        <f>BH761</f>
        <v>0.59657534246575339</v>
      </c>
      <c r="AD761" s="1660"/>
      <c r="AE761" s="1660"/>
      <c r="AF761" s="1660"/>
      <c r="AG761" s="1661"/>
      <c r="AH761" s="1659">
        <f>IFERROR(BU761,"")</f>
        <v>0.59659887064728645</v>
      </c>
      <c r="AI761" s="1660"/>
      <c r="AJ761" s="1661"/>
      <c r="AK761"/>
      <c r="AL761"/>
      <c r="AM761"/>
      <c r="AN761"/>
      <c r="AO761"/>
      <c r="AP761" s="205"/>
      <c r="AQ761" s="205"/>
      <c r="AR761" s="205"/>
      <c r="AS761" s="205"/>
      <c r="AT761"/>
      <c r="AU761"/>
      <c r="AV761"/>
      <c r="AW761"/>
      <c r="AX761"/>
      <c r="AY761"/>
      <c r="AZ761" s="34"/>
      <c r="BA761" s="34"/>
      <c r="BB761" s="34"/>
      <c r="BC761" s="34"/>
      <c r="BE761" s="290" t="s">
        <v>899</v>
      </c>
      <c r="BF761" s="299">
        <f>SUM(BF726:BF760)</f>
        <v>146</v>
      </c>
      <c r="BG761" s="300">
        <f>SUM(BG726:BG760)</f>
        <v>1</v>
      </c>
      <c r="BH761" s="300">
        <f>SUM(BH726:BH760)</f>
        <v>0.59657534246575339</v>
      </c>
      <c r="BI761"/>
      <c r="BJ761"/>
      <c r="BK761"/>
      <c r="BL761"/>
      <c r="BO761"/>
      <c r="BP761"/>
      <c r="BQ761"/>
      <c r="BR761"/>
      <c r="BS761" s="855">
        <f>SUM(BS726:BS760)</f>
        <v>146</v>
      </c>
      <c r="BT761" s="300">
        <f>SUM(BT726:BT760)</f>
        <v>1</v>
      </c>
      <c r="BU761" s="300">
        <f>SUM(BU726:BU760)</f>
        <v>0.59659887064728645</v>
      </c>
      <c r="CI761" s="1358">
        <f>SUM(CI726:CJ760)</f>
        <v>0</v>
      </c>
      <c r="CJ761" s="1360"/>
      <c r="CM761" s="1358">
        <f>SUM(CM726:CN760)</f>
        <v>35</v>
      </c>
      <c r="CN761" s="1360"/>
      <c r="CP761" s="1358">
        <f>SUM(CP726:CT760)</f>
        <v>0</v>
      </c>
      <c r="CQ761" s="1359"/>
      <c r="CR761" s="1359"/>
      <c r="CS761" s="1359"/>
      <c r="CT761" s="1360"/>
      <c r="CU761" s="1381">
        <f>SUM(CU726:CY760)</f>
        <v>72</v>
      </c>
      <c r="CV761" s="1381"/>
      <c r="CW761" s="1381"/>
      <c r="CX761" s="1381"/>
      <c r="CY761" s="1381"/>
      <c r="CZ761" s="1381">
        <f>SUM(CZ726:DD760)</f>
        <v>51</v>
      </c>
      <c r="DA761" s="1381"/>
      <c r="DB761" s="1381"/>
      <c r="DC761" s="1381"/>
      <c r="DD761" s="1381"/>
      <c r="DE761" s="1381">
        <f>SUM(DE726:DI760)</f>
        <v>23</v>
      </c>
      <c r="DF761" s="1381"/>
      <c r="DG761" s="1381"/>
      <c r="DH761" s="1381"/>
      <c r="DI761" s="1381"/>
      <c r="DJ761" s="1381">
        <f>SUM(DJ726:DN760)</f>
        <v>0</v>
      </c>
      <c r="DK761" s="1381"/>
      <c r="DL761" s="1381"/>
      <c r="DM761" s="1381"/>
      <c r="DN761" s="1381"/>
      <c r="DO761" s="1381">
        <f>SUM(DO726:DS760)</f>
        <v>0</v>
      </c>
      <c r="DP761" s="1381"/>
      <c r="DQ761" s="1381"/>
      <c r="DR761" s="1381"/>
      <c r="DS761" s="1381"/>
      <c r="DT761" s="354"/>
      <c r="DU761" s="1381">
        <f>SUM(DU726:DY760)</f>
        <v>0</v>
      </c>
      <c r="DV761" s="1381"/>
      <c r="DW761" s="1381"/>
      <c r="DX761" s="1381"/>
      <c r="DY761" s="1381"/>
      <c r="DZ761" s="1381">
        <f>SUM(DZ726:ED760)</f>
        <v>17</v>
      </c>
      <c r="EA761" s="1381"/>
      <c r="EB761" s="1381"/>
      <c r="EC761" s="1381"/>
      <c r="ED761" s="1381"/>
      <c r="EE761" s="1381">
        <f>SUM(EE726:EI760)</f>
        <v>12</v>
      </c>
      <c r="EF761" s="1381"/>
      <c r="EG761" s="1381"/>
      <c r="EH761" s="1381"/>
      <c r="EI761" s="1381"/>
      <c r="EJ761" s="1381">
        <f>SUM(EJ726:EN760)</f>
        <v>6</v>
      </c>
      <c r="EK761" s="1381"/>
      <c r="EL761" s="1381"/>
      <c r="EM761" s="1381"/>
      <c r="EN761" s="1381"/>
      <c r="EO761" s="1381">
        <f>SUM(EO726:ES760)</f>
        <v>0</v>
      </c>
      <c r="EP761" s="1381"/>
      <c r="EQ761" s="1381"/>
      <c r="ER761" s="1381"/>
      <c r="ES761" s="1381"/>
      <c r="ET761" s="1381">
        <f>SUM(ET726:EX760)</f>
        <v>0</v>
      </c>
      <c r="EU761" s="1381"/>
      <c r="EV761" s="1381"/>
      <c r="EW761" s="1381"/>
      <c r="EX761" s="1381"/>
      <c r="EY761"/>
      <c r="EZ761" s="1381">
        <f>SUM(EZ726:FD760)</f>
        <v>0</v>
      </c>
      <c r="FA761" s="1381"/>
      <c r="FB761" s="1381"/>
      <c r="FC761" s="1381"/>
      <c r="FD761" s="1381"/>
      <c r="FE761" s="1381">
        <f>SUM(FE726:FI760)</f>
        <v>4400</v>
      </c>
      <c r="FF761" s="1381"/>
      <c r="FG761" s="1381"/>
      <c r="FH761" s="1381"/>
      <c r="FI761" s="1381"/>
      <c r="FJ761" s="1381">
        <f>SUM(FJ726:FN760)</f>
        <v>3282.3</v>
      </c>
      <c r="FK761" s="1381"/>
      <c r="FL761" s="1381"/>
      <c r="FM761" s="1381"/>
      <c r="FN761" s="1381"/>
      <c r="FO761" s="1381">
        <f>SUM(FO726:FS760)</f>
        <v>6072.8</v>
      </c>
      <c r="FP761" s="1381"/>
      <c r="FQ761" s="1381"/>
      <c r="FR761" s="1381"/>
      <c r="FS761" s="1381"/>
      <c r="FT761" s="1381">
        <f>SUM(FT726:FX760)</f>
        <v>0</v>
      </c>
      <c r="FU761" s="1381"/>
      <c r="FV761" s="1381"/>
      <c r="FW761" s="1381"/>
      <c r="FX761" s="1381"/>
      <c r="FY761" s="1381">
        <f>SUM(FY726:GC760)</f>
        <v>0</v>
      </c>
      <c r="FZ761" s="1381"/>
      <c r="GA761" s="1381"/>
      <c r="GB761" s="1381"/>
      <c r="GC761" s="1381"/>
    </row>
    <row r="762" spans="1:185" s="3" customFormat="1" ht="12.95" customHeight="1">
      <c r="A762"/>
      <c r="B762" s="1646" t="s">
        <v>1866</v>
      </c>
      <c r="C762" s="1646"/>
      <c r="D762" s="1646"/>
      <c r="E762" s="1646"/>
      <c r="F762" s="1646"/>
      <c r="G762" s="1646"/>
      <c r="H762" s="1646"/>
      <c r="I762" s="1646"/>
      <c r="J762" s="1646"/>
      <c r="K762" s="1646"/>
      <c r="L762" s="1646"/>
      <c r="M762" s="1646"/>
      <c r="N762" s="1646"/>
      <c r="O762" s="1646"/>
      <c r="P762" s="1646"/>
      <c r="Q762" s="1646"/>
      <c r="R762" s="1646"/>
      <c r="S762" s="1646"/>
      <c r="T762" s="1646"/>
      <c r="U762" s="1646"/>
      <c r="V762" s="1646"/>
      <c r="W762" s="1646"/>
      <c r="X762" s="1646"/>
      <c r="Y762" s="1646"/>
      <c r="Z762" s="1646"/>
      <c r="AA762" s="1646"/>
      <c r="AB762" s="1646"/>
      <c r="AC762" s="1646"/>
      <c r="AD762" s="1646"/>
      <c r="AE762" s="1646"/>
      <c r="AF762" s="1646"/>
      <c r="AG762" s="1646"/>
      <c r="AH762" s="1646"/>
      <c r="AI762"/>
      <c r="AJ762"/>
      <c r="AK762"/>
      <c r="AT762"/>
      <c r="AU762"/>
      <c r="AV762"/>
      <c r="AW762"/>
      <c r="AX762"/>
      <c r="AY762"/>
      <c r="CD762"/>
      <c r="DN762" s="56" t="s">
        <v>1834</v>
      </c>
      <c r="DO762" s="1358">
        <f>CP761+CU761+CZ761+DE761+DJ761+DO761</f>
        <v>146</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46"/>
      <c r="C763" s="1646"/>
      <c r="D763" s="1646"/>
      <c r="E763" s="1646"/>
      <c r="F763" s="1646"/>
      <c r="G763" s="1646"/>
      <c r="H763" s="1646"/>
      <c r="I763" s="1646"/>
      <c r="J763" s="1646"/>
      <c r="K763" s="1646"/>
      <c r="L763" s="1646"/>
      <c r="M763" s="1646"/>
      <c r="N763" s="1646"/>
      <c r="O763" s="1646"/>
      <c r="P763" s="1646"/>
      <c r="Q763" s="1646"/>
      <c r="R763" s="1646"/>
      <c r="S763" s="1646"/>
      <c r="T763" s="1646"/>
      <c r="U763" s="1646"/>
      <c r="V763" s="1646"/>
      <c r="W763" s="1646"/>
      <c r="X763" s="1646"/>
      <c r="Y763" s="1646"/>
      <c r="Z763" s="1646"/>
      <c r="AA763" s="1646"/>
      <c r="AB763" s="1646"/>
      <c r="AC763" s="1646"/>
      <c r="AD763" s="1646"/>
      <c r="AE763" s="1646"/>
      <c r="AF763" s="1646"/>
      <c r="AG763" s="1646"/>
      <c r="AH763" s="1646"/>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72</v>
      </c>
      <c r="CZ763" s="3"/>
      <c r="DA763" s="3"/>
      <c r="DB763" s="3"/>
      <c r="DC763" s="3"/>
      <c r="DD763" s="857">
        <f>CZ761*2</f>
        <v>102</v>
      </c>
      <c r="DE763" s="3"/>
      <c r="DF763" s="3"/>
      <c r="DG763" s="3"/>
      <c r="DH763" s="3"/>
      <c r="DI763" s="857">
        <f>DE761*3</f>
        <v>69</v>
      </c>
      <c r="DJ763" s="3"/>
      <c r="DK763" s="3"/>
      <c r="DL763" s="3"/>
      <c r="DM763" s="3"/>
      <c r="DN763" s="857">
        <f>DJ761*4</f>
        <v>0</v>
      </c>
      <c r="DO763" s="3"/>
      <c r="DP763" s="3"/>
      <c r="DQ763" s="3"/>
      <c r="DR763" s="3"/>
      <c r="DS763" s="857">
        <f>DO761*5</f>
        <v>0</v>
      </c>
      <c r="DU763" s="857">
        <f>CT763+CY763+DD763+DI763+DN763+DS763</f>
        <v>243</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381">
        <f>DU763</f>
        <v>243</v>
      </c>
      <c r="P764" s="1381"/>
      <c r="Q764" s="1381"/>
      <c r="R764" s="1381"/>
      <c r="S764" s="965"/>
      <c r="T764" s="965"/>
      <c r="U764" s="118" t="s">
        <v>1865</v>
      </c>
      <c r="V764" s="1027"/>
      <c r="W764" s="1027"/>
      <c r="X764" s="1027"/>
      <c r="Y764" s="1028"/>
      <c r="Z764" s="1028"/>
      <c r="AA764" s="1028"/>
      <c r="AB764" s="1028"/>
      <c r="AC764" s="1027"/>
      <c r="AD764" s="1027"/>
      <c r="AE764" s="1027"/>
      <c r="AF764" s="1027"/>
      <c r="AG764" s="1848">
        <v>0</v>
      </c>
      <c r="AH764" s="1848"/>
      <c r="AI764" s="1848"/>
      <c r="AJ764" s="1848"/>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66" t="str">
        <f>IF(G761&lt;&gt;AG449,"! Total Low-Income Units in the Unit Mix Table above does not match the number of Total Low-Income Units on row #"&amp;TEXT(ROW(D449),"#"),"")</f>
        <v/>
      </c>
      <c r="D765" s="1866"/>
      <c r="E765" s="1866"/>
      <c r="F765" s="1866"/>
      <c r="G765" s="1866"/>
      <c r="H765" s="1866"/>
      <c r="I765" s="1866"/>
      <c r="J765" s="1866"/>
      <c r="K765" s="1866"/>
      <c r="L765" s="1866"/>
      <c r="M765" s="1866"/>
      <c r="N765" s="1866"/>
      <c r="O765" s="1866"/>
      <c r="P765" s="1866"/>
      <c r="Q765" s="1866"/>
      <c r="R765" s="1866"/>
      <c r="S765" s="1866"/>
      <c r="T765" s="1866"/>
      <c r="U765" s="1866"/>
      <c r="V765" s="1866"/>
      <c r="W765" s="1866"/>
      <c r="X765" s="1866"/>
      <c r="Y765" s="1866"/>
      <c r="Z765" s="1866"/>
      <c r="AA765" s="1866"/>
      <c r="AB765" s="1866"/>
      <c r="AC765" s="1866"/>
      <c r="AD765" s="1866"/>
      <c r="AE765" s="1866"/>
      <c r="AF765" s="1866"/>
      <c r="AG765" s="1866"/>
      <c r="AH765" s="1866"/>
      <c r="AI765" s="1866"/>
      <c r="AJ765" s="1866"/>
      <c r="AK765" s="1866"/>
      <c r="AL765" s="1866"/>
      <c r="AM765" s="186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66"/>
      <c r="D766" s="1866"/>
      <c r="E766" s="1866"/>
      <c r="F766" s="1866"/>
      <c r="G766" s="1866"/>
      <c r="H766" s="1866"/>
      <c r="I766" s="1866"/>
      <c r="J766" s="1866"/>
      <c r="K766" s="1866"/>
      <c r="L766" s="1866"/>
      <c r="M766" s="1866"/>
      <c r="N766" s="1866"/>
      <c r="O766" s="1866"/>
      <c r="P766" s="1866"/>
      <c r="Q766" s="1866"/>
      <c r="R766" s="1866"/>
      <c r="S766" s="1866"/>
      <c r="T766" s="1866"/>
      <c r="U766" s="1866"/>
      <c r="V766" s="1866"/>
      <c r="W766" s="1866"/>
      <c r="X766" s="1866"/>
      <c r="Y766" s="1866"/>
      <c r="Z766" s="1866"/>
      <c r="AA766" s="1866"/>
      <c r="AB766" s="1866"/>
      <c r="AC766" s="1866"/>
      <c r="AD766" s="1866"/>
      <c r="AE766" s="1866"/>
      <c r="AF766" s="1866"/>
      <c r="AG766" s="1866"/>
      <c r="AH766" s="1866"/>
      <c r="AI766" s="1866"/>
      <c r="AJ766" s="1866"/>
      <c r="AK766" s="1866"/>
      <c r="AL766" s="1866"/>
      <c r="AM766" s="186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20" t="s">
        <v>591</v>
      </c>
      <c r="AE767" s="1720"/>
      <c r="AF767" s="1720"/>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2" t="s">
        <v>2045</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2" t="s">
        <v>2046</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06" t="s">
        <v>389</v>
      </c>
      <c r="K777" s="1592"/>
      <c r="L777" s="1592"/>
      <c r="M777" s="1592"/>
      <c r="N777" s="1593"/>
      <c r="O777" s="1616" t="s">
        <v>285</v>
      </c>
      <c r="P777" s="1616"/>
      <c r="Q777" s="1616"/>
      <c r="R777" s="1616"/>
      <c r="S777" s="1616"/>
      <c r="T777" s="1584" t="s">
        <v>1667</v>
      </c>
      <c r="U777" s="1585"/>
      <c r="V777" s="1585"/>
      <c r="W777" s="1586"/>
      <c r="X777" s="1606" t="s">
        <v>447</v>
      </c>
      <c r="Y777" s="1592"/>
      <c r="Z777" s="1592"/>
      <c r="AA777" s="1592"/>
      <c r="AB777" s="1593"/>
      <c r="AC777" s="1606" t="s">
        <v>286</v>
      </c>
      <c r="AD777" s="1592"/>
      <c r="AE777" s="1592"/>
      <c r="AF777" s="1592"/>
      <c r="AG777" s="1593"/>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594"/>
      <c r="K778" s="1595"/>
      <c r="L778" s="1595"/>
      <c r="M778" s="1595"/>
      <c r="N778" s="1596"/>
      <c r="O778" s="1616"/>
      <c r="P778" s="1616"/>
      <c r="Q778" s="1616"/>
      <c r="R778" s="1616"/>
      <c r="S778" s="1616"/>
      <c r="T778" s="1587"/>
      <c r="U778" s="1588"/>
      <c r="V778" s="1588"/>
      <c r="W778" s="1589"/>
      <c r="X778" s="1594"/>
      <c r="Y778" s="1595"/>
      <c r="Z778" s="1595"/>
      <c r="AA778" s="1595"/>
      <c r="AB778" s="1596"/>
      <c r="AC778" s="1594"/>
      <c r="AD778" s="1595"/>
      <c r="AE778" s="1595"/>
      <c r="AF778" s="1595"/>
      <c r="AG778" s="1596"/>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594"/>
      <c r="K779" s="1595"/>
      <c r="L779" s="1595"/>
      <c r="M779" s="1595"/>
      <c r="N779" s="1596"/>
      <c r="O779" s="1616"/>
      <c r="P779" s="1616"/>
      <c r="Q779" s="1616"/>
      <c r="R779" s="1616"/>
      <c r="S779" s="1616"/>
      <c r="T779" s="1587"/>
      <c r="U779" s="1588"/>
      <c r="V779" s="1588"/>
      <c r="W779" s="1589"/>
      <c r="X779" s="1594"/>
      <c r="Y779" s="1595"/>
      <c r="Z779" s="1595"/>
      <c r="AA779" s="1595"/>
      <c r="AB779" s="1596"/>
      <c r="AC779" s="1594"/>
      <c r="AD779" s="1595"/>
      <c r="AE779" s="1595"/>
      <c r="AF779" s="1595"/>
      <c r="AG779" s="1596"/>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597"/>
      <c r="K780" s="1598"/>
      <c r="L780" s="1598"/>
      <c r="M780" s="1598"/>
      <c r="N780" s="1599"/>
      <c r="O780" s="1616"/>
      <c r="P780" s="1616"/>
      <c r="Q780" s="1616"/>
      <c r="R780" s="1616"/>
      <c r="S780" s="1616"/>
      <c r="T780" s="1607"/>
      <c r="U780" s="1608"/>
      <c r="V780" s="1608"/>
      <c r="W780" s="1609"/>
      <c r="X780" s="1597"/>
      <c r="Y780" s="1598"/>
      <c r="Z780" s="1598"/>
      <c r="AA780" s="1598"/>
      <c r="AB780" s="1599"/>
      <c r="AC780" s="1597"/>
      <c r="AD780" s="1598"/>
      <c r="AE780" s="1598"/>
      <c r="AF780" s="1598"/>
      <c r="AG780" s="1599"/>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2" t="s">
        <v>325</v>
      </c>
      <c r="K781" s="1363"/>
      <c r="L781" s="1363"/>
      <c r="M781" s="1363"/>
      <c r="N781" s="1364"/>
      <c r="O781" s="1496">
        <v>1</v>
      </c>
      <c r="P781" s="1496"/>
      <c r="Q781" s="1496"/>
      <c r="R781" s="1496"/>
      <c r="S781" s="1496"/>
      <c r="T781" s="1489">
        <v>501</v>
      </c>
      <c r="U781" s="1490"/>
      <c r="V781" s="1490"/>
      <c r="W781" s="1491"/>
      <c r="X781" s="1378">
        <v>2200</v>
      </c>
      <c r="Y781" s="1379"/>
      <c r="Z781" s="1379"/>
      <c r="AA781" s="1379"/>
      <c r="AB781" s="1380"/>
      <c r="AC781" s="1365">
        <f>X781*O781</f>
        <v>2200</v>
      </c>
      <c r="AD781" s="1366"/>
      <c r="AE781" s="1366"/>
      <c r="AF781" s="1366"/>
      <c r="AG781" s="1367"/>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1</v>
      </c>
      <c r="CV781" s="1361"/>
      <c r="CW781" s="1361"/>
      <c r="CX781" s="1361"/>
      <c r="CY781" s="1361"/>
      <c r="CZ781" s="1361">
        <f>IF(J781="2 Bedrooms",O781,0)</f>
        <v>0</v>
      </c>
      <c r="DA781" s="1361"/>
      <c r="DB781" s="1361"/>
      <c r="DC781" s="1361"/>
      <c r="DD781" s="1361"/>
      <c r="DE781" s="1361">
        <f>IF(J781="3 Bedrooms",O781,0)</f>
        <v>0</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2.95" customHeight="1">
      <c r="J782" s="1362"/>
      <c r="K782" s="1363"/>
      <c r="L782" s="1363"/>
      <c r="M782" s="1363"/>
      <c r="N782" s="1364"/>
      <c r="O782" s="1496"/>
      <c r="P782" s="1496"/>
      <c r="Q782" s="1496"/>
      <c r="R782" s="1496"/>
      <c r="S782" s="1496"/>
      <c r="T782" s="1489"/>
      <c r="U782" s="1490"/>
      <c r="V782" s="1490"/>
      <c r="W782" s="1491"/>
      <c r="X782" s="1378"/>
      <c r="Y782" s="1379"/>
      <c r="Z782" s="1379"/>
      <c r="AA782" s="1379"/>
      <c r="AB782" s="1380"/>
      <c r="AC782" s="1365">
        <f>X782*O782</f>
        <v>0</v>
      </c>
      <c r="AD782" s="1366"/>
      <c r="AE782" s="1366"/>
      <c r="AF782" s="1366"/>
      <c r="AG782" s="1367"/>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2.95" customHeight="1">
      <c r="J783" s="1362"/>
      <c r="K783" s="1363"/>
      <c r="L783" s="1363"/>
      <c r="M783" s="1363"/>
      <c r="N783" s="1364"/>
      <c r="O783" s="1496"/>
      <c r="P783" s="1496"/>
      <c r="Q783" s="1496"/>
      <c r="R783" s="1496"/>
      <c r="S783" s="1496"/>
      <c r="T783" s="1489"/>
      <c r="U783" s="1490"/>
      <c r="V783" s="1490"/>
      <c r="W783" s="1491"/>
      <c r="X783" s="1378"/>
      <c r="Y783" s="1379"/>
      <c r="Z783" s="1379"/>
      <c r="AA783" s="1379"/>
      <c r="AB783" s="1380"/>
      <c r="AC783" s="1365">
        <f>X783*O783</f>
        <v>0</v>
      </c>
      <c r="AD783" s="1366"/>
      <c r="AE783" s="1366"/>
      <c r="AF783" s="1366"/>
      <c r="AG783" s="1367"/>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2.95" customHeight="1">
      <c r="J784" s="1362"/>
      <c r="K784" s="1363"/>
      <c r="L784" s="1363"/>
      <c r="M784" s="1363"/>
      <c r="N784" s="1364"/>
      <c r="O784" s="1496"/>
      <c r="P784" s="1496"/>
      <c r="Q784" s="1496"/>
      <c r="R784" s="1496"/>
      <c r="S784" s="1496"/>
      <c r="T784" s="1489"/>
      <c r="U784" s="1490"/>
      <c r="V784" s="1490"/>
      <c r="W784" s="1491"/>
      <c r="X784" s="1378"/>
      <c r="Y784" s="1379"/>
      <c r="Z784" s="1379"/>
      <c r="AA784" s="1379"/>
      <c r="AB784" s="1380"/>
      <c r="AC784" s="1365">
        <f>X784*O784</f>
        <v>0</v>
      </c>
      <c r="AD784" s="1366"/>
      <c r="AE784" s="1366"/>
      <c r="AF784" s="1366"/>
      <c r="AG784" s="1367"/>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2.95" customHeight="1">
      <c r="J785" s="1419" t="s">
        <v>125</v>
      </c>
      <c r="K785" s="1420"/>
      <c r="L785" s="1420"/>
      <c r="M785" s="1420"/>
      <c r="N785" s="1422"/>
      <c r="O785" s="1342">
        <f>SUM(O781:S784)</f>
        <v>1</v>
      </c>
      <c r="P785" s="1343"/>
      <c r="Q785" s="1343"/>
      <c r="R785" s="1343"/>
      <c r="S785" s="1344"/>
      <c r="X785" s="1419" t="s">
        <v>124</v>
      </c>
      <c r="Y785" s="1420"/>
      <c r="Z785" s="1420"/>
      <c r="AA785" s="1420"/>
      <c r="AB785" s="1422"/>
      <c r="AC785" s="1365">
        <f>SUM(AC781:AG784)</f>
        <v>2200</v>
      </c>
      <c r="AD785" s="1366"/>
      <c r="AE785" s="1366"/>
      <c r="AF785" s="1366"/>
      <c r="AG785" s="1367"/>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1</v>
      </c>
      <c r="CV785" s="1356"/>
      <c r="CW785" s="1356"/>
      <c r="CX785" s="1356"/>
      <c r="CY785" s="1357"/>
      <c r="CZ785" s="1355">
        <f>SUM(CZ781:DD784)</f>
        <v>0</v>
      </c>
      <c r="DA785" s="1356"/>
      <c r="DB785" s="1356"/>
      <c r="DC785" s="1356"/>
      <c r="DD785" s="1357"/>
      <c r="DE785" s="1355">
        <f>SUM(DE781:DI784)</f>
        <v>0</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1835</v>
      </c>
    </row>
    <row r="787" spans="1:154" ht="12.95" customHeight="1">
      <c r="B787" s="56"/>
      <c r="C787" s="56"/>
      <c r="D787" s="56"/>
      <c r="E787" s="56"/>
      <c r="F787" s="56"/>
      <c r="G787" s="6"/>
      <c r="H787" s="6"/>
      <c r="I787" s="6"/>
      <c r="J787" s="1374" t="s">
        <v>669</v>
      </c>
      <c r="K787" s="1374"/>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06" t="s">
        <v>389</v>
      </c>
      <c r="K791" s="1592"/>
      <c r="L791" s="1592"/>
      <c r="M791" s="1592"/>
      <c r="N791" s="1593"/>
      <c r="O791" s="1616" t="s">
        <v>285</v>
      </c>
      <c r="P791" s="1616"/>
      <c r="Q791" s="1616"/>
      <c r="R791" s="1616"/>
      <c r="S791" s="1616"/>
      <c r="T791" s="1584" t="s">
        <v>1667</v>
      </c>
      <c r="U791" s="1585"/>
      <c r="V791" s="1585"/>
      <c r="W791" s="1586"/>
      <c r="X791" s="1606" t="s">
        <v>447</v>
      </c>
      <c r="Y791" s="1592"/>
      <c r="Z791" s="1592"/>
      <c r="AA791" s="1592"/>
      <c r="AB791" s="1593"/>
      <c r="AC791" s="1606" t="s">
        <v>286</v>
      </c>
      <c r="AD791" s="1592"/>
      <c r="AE791" s="1592"/>
      <c r="AF791" s="1592"/>
      <c r="AG791" s="159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594"/>
      <c r="K792" s="1595"/>
      <c r="L792" s="1595"/>
      <c r="M792" s="1595"/>
      <c r="N792" s="1596"/>
      <c r="O792" s="1616"/>
      <c r="P792" s="1616"/>
      <c r="Q792" s="1616"/>
      <c r="R792" s="1616"/>
      <c r="S792" s="1616"/>
      <c r="T792" s="1587"/>
      <c r="U792" s="1588"/>
      <c r="V792" s="1588"/>
      <c r="W792" s="1589"/>
      <c r="X792" s="1594"/>
      <c r="Y792" s="1595"/>
      <c r="Z792" s="1595"/>
      <c r="AA792" s="1595"/>
      <c r="AB792" s="1596"/>
      <c r="AC792" s="1594"/>
      <c r="AD792" s="1595"/>
      <c r="AE792" s="1595"/>
      <c r="AF792" s="1595"/>
      <c r="AG792" s="159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594"/>
      <c r="K793" s="1595"/>
      <c r="L793" s="1595"/>
      <c r="M793" s="1595"/>
      <c r="N793" s="1596"/>
      <c r="O793" s="1616"/>
      <c r="P793" s="1616"/>
      <c r="Q793" s="1616"/>
      <c r="R793" s="1616"/>
      <c r="S793" s="1616"/>
      <c r="T793" s="1587"/>
      <c r="U793" s="1588"/>
      <c r="V793" s="1588"/>
      <c r="W793" s="1589"/>
      <c r="X793" s="1594"/>
      <c r="Y793" s="1595"/>
      <c r="Z793" s="1595"/>
      <c r="AA793" s="1595"/>
      <c r="AB793" s="1596"/>
      <c r="AC793" s="1594"/>
      <c r="AD793" s="1595"/>
      <c r="AE793" s="1595"/>
      <c r="AF793" s="1595"/>
      <c r="AG793" s="159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597"/>
      <c r="K794" s="1598"/>
      <c r="L794" s="1598"/>
      <c r="M794" s="1598"/>
      <c r="N794" s="1599"/>
      <c r="O794" s="1616"/>
      <c r="P794" s="1616"/>
      <c r="Q794" s="1616"/>
      <c r="R794" s="1616"/>
      <c r="S794" s="1616"/>
      <c r="T794" s="1607"/>
      <c r="U794" s="1608"/>
      <c r="V794" s="1608"/>
      <c r="W794" s="1609"/>
      <c r="X794" s="1597"/>
      <c r="Y794" s="1598"/>
      <c r="Z794" s="1598"/>
      <c r="AA794" s="1598"/>
      <c r="AB794" s="1599"/>
      <c r="AC794" s="1597"/>
      <c r="AD794" s="1598"/>
      <c r="AE794" s="1598"/>
      <c r="AF794" s="1598"/>
      <c r="AG794" s="159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62"/>
      <c r="K795" s="1363"/>
      <c r="L795" s="1363"/>
      <c r="M795" s="1363"/>
      <c r="N795" s="1364"/>
      <c r="O795" s="1496"/>
      <c r="P795" s="1496"/>
      <c r="Q795" s="1496"/>
      <c r="R795" s="1496"/>
      <c r="S795" s="1496"/>
      <c r="T795" s="1489"/>
      <c r="U795" s="1490"/>
      <c r="V795" s="1490"/>
      <c r="W795" s="1491"/>
      <c r="X795" s="1378"/>
      <c r="Y795" s="1379"/>
      <c r="Z795" s="1379"/>
      <c r="AA795" s="1379"/>
      <c r="AB795" s="1380"/>
      <c r="AC795" s="1365">
        <f t="shared" ref="AC795:AC804" si="42">X795*O795</f>
        <v>0</v>
      </c>
      <c r="AD795" s="1366"/>
      <c r="AE795" s="1366"/>
      <c r="AF795" s="1366"/>
      <c r="AG795" s="136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2.95" customHeight="1">
      <c r="A796"/>
      <c r="B796"/>
      <c r="C796"/>
      <c r="D796"/>
      <c r="E796"/>
      <c r="F796"/>
      <c r="G796"/>
      <c r="H796"/>
      <c r="I796"/>
      <c r="J796" s="1362"/>
      <c r="K796" s="1363"/>
      <c r="L796" s="1363"/>
      <c r="M796" s="1363"/>
      <c r="N796" s="1364"/>
      <c r="O796" s="1496"/>
      <c r="P796" s="1496"/>
      <c r="Q796" s="1496"/>
      <c r="R796" s="1496"/>
      <c r="S796" s="1496"/>
      <c r="T796" s="1489"/>
      <c r="U796" s="1490"/>
      <c r="V796" s="1490"/>
      <c r="W796" s="1491"/>
      <c r="X796" s="1378"/>
      <c r="Y796" s="1379"/>
      <c r="Z796" s="1379"/>
      <c r="AA796" s="1379"/>
      <c r="AB796" s="1380"/>
      <c r="AC796" s="1365">
        <f t="shared" si="42"/>
        <v>0</v>
      </c>
      <c r="AD796" s="1366"/>
      <c r="AE796" s="1366"/>
      <c r="AF796" s="1366"/>
      <c r="AG796" s="136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2.95" customHeight="1">
      <c r="A797"/>
      <c r="B797"/>
      <c r="C797"/>
      <c r="D797"/>
      <c r="E797"/>
      <c r="F797"/>
      <c r="G797"/>
      <c r="H797"/>
      <c r="I797"/>
      <c r="J797" s="1362"/>
      <c r="K797" s="1363"/>
      <c r="L797" s="1363"/>
      <c r="M797" s="1363"/>
      <c r="N797" s="1364"/>
      <c r="O797" s="1496"/>
      <c r="P797" s="1496"/>
      <c r="Q797" s="1496"/>
      <c r="R797" s="1496"/>
      <c r="S797" s="1496"/>
      <c r="T797" s="1489"/>
      <c r="U797" s="1490"/>
      <c r="V797" s="1490"/>
      <c r="W797" s="1491"/>
      <c r="X797" s="1378"/>
      <c r="Y797" s="1379"/>
      <c r="Z797" s="1379"/>
      <c r="AA797" s="1379"/>
      <c r="AB797" s="1380"/>
      <c r="AC797" s="1365">
        <f t="shared" si="42"/>
        <v>0</v>
      </c>
      <c r="AD797" s="1366"/>
      <c r="AE797" s="1366"/>
      <c r="AF797" s="1366"/>
      <c r="AG797" s="136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2.95" customHeight="1">
      <c r="A798"/>
      <c r="B798"/>
      <c r="C798"/>
      <c r="D798"/>
      <c r="E798"/>
      <c r="F798"/>
      <c r="G798"/>
      <c r="H798"/>
      <c r="I798"/>
      <c r="J798" s="1362"/>
      <c r="K798" s="1363"/>
      <c r="L798" s="1363"/>
      <c r="M798" s="1363"/>
      <c r="N798" s="1364"/>
      <c r="O798" s="1496"/>
      <c r="P798" s="1496"/>
      <c r="Q798" s="1496"/>
      <c r="R798" s="1496"/>
      <c r="S798" s="1496"/>
      <c r="T798" s="1489"/>
      <c r="U798" s="1490"/>
      <c r="V798" s="1490"/>
      <c r="W798" s="1491"/>
      <c r="X798" s="1378"/>
      <c r="Y798" s="1379"/>
      <c r="Z798" s="1379"/>
      <c r="AA798" s="1379"/>
      <c r="AB798" s="1380"/>
      <c r="AC798" s="1365">
        <f t="shared" si="42"/>
        <v>0</v>
      </c>
      <c r="AD798" s="1366"/>
      <c r="AE798" s="1366"/>
      <c r="AF798" s="1366"/>
      <c r="AG798" s="136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2.95" customHeight="1">
      <c r="A799"/>
      <c r="B799"/>
      <c r="C799"/>
      <c r="D799"/>
      <c r="E799"/>
      <c r="F799"/>
      <c r="G799"/>
      <c r="H799"/>
      <c r="I799"/>
      <c r="J799" s="1362"/>
      <c r="K799" s="1363"/>
      <c r="L799" s="1363"/>
      <c r="M799" s="1363"/>
      <c r="N799" s="1364"/>
      <c r="O799" s="1496"/>
      <c r="P799" s="1496"/>
      <c r="Q799" s="1496"/>
      <c r="R799" s="1496"/>
      <c r="S799" s="1496"/>
      <c r="T799" s="1489"/>
      <c r="U799" s="1490"/>
      <c r="V799" s="1490"/>
      <c r="W799" s="1491"/>
      <c r="X799" s="1378"/>
      <c r="Y799" s="1379"/>
      <c r="Z799" s="1379"/>
      <c r="AA799" s="1379"/>
      <c r="AB799" s="1380"/>
      <c r="AC799" s="1365">
        <f t="shared" si="42"/>
        <v>0</v>
      </c>
      <c r="AD799" s="1366"/>
      <c r="AE799" s="1366"/>
      <c r="AF799" s="1366"/>
      <c r="AG799" s="136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2.95" customHeight="1">
      <c r="A800"/>
      <c r="B800"/>
      <c r="C800"/>
      <c r="D800"/>
      <c r="E800"/>
      <c r="F800"/>
      <c r="G800"/>
      <c r="H800"/>
      <c r="I800"/>
      <c r="J800" s="1362"/>
      <c r="K800" s="1363"/>
      <c r="L800" s="1363"/>
      <c r="M800" s="1363"/>
      <c r="N800" s="1364"/>
      <c r="O800" s="1496"/>
      <c r="P800" s="1496"/>
      <c r="Q800" s="1496"/>
      <c r="R800" s="1496"/>
      <c r="S800" s="1496"/>
      <c r="T800" s="1489"/>
      <c r="U800" s="1490"/>
      <c r="V800" s="1490"/>
      <c r="W800" s="1491"/>
      <c r="X800" s="1378"/>
      <c r="Y800" s="1379"/>
      <c r="Z800" s="1379"/>
      <c r="AA800" s="1379"/>
      <c r="AB800" s="1380"/>
      <c r="AC800" s="1365">
        <f t="shared" si="42"/>
        <v>0</v>
      </c>
      <c r="AD800" s="1366"/>
      <c r="AE800" s="1366"/>
      <c r="AF800" s="1366"/>
      <c r="AG800" s="136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2.95" customHeight="1">
      <c r="A801"/>
      <c r="B801"/>
      <c r="C801"/>
      <c r="D801"/>
      <c r="E801"/>
      <c r="F801"/>
      <c r="G801"/>
      <c r="H801"/>
      <c r="I801"/>
      <c r="J801" s="1362"/>
      <c r="K801" s="1363"/>
      <c r="L801" s="1363"/>
      <c r="M801" s="1363"/>
      <c r="N801" s="1364"/>
      <c r="O801" s="1496"/>
      <c r="P801" s="1496"/>
      <c r="Q801" s="1496"/>
      <c r="R801" s="1496"/>
      <c r="S801" s="1496"/>
      <c r="T801" s="1489"/>
      <c r="U801" s="1490"/>
      <c r="V801" s="1490"/>
      <c r="W801" s="1491"/>
      <c r="X801" s="1378"/>
      <c r="Y801" s="1379"/>
      <c r="Z801" s="1379"/>
      <c r="AA801" s="1379"/>
      <c r="AB801" s="1380"/>
      <c r="AC801" s="1365">
        <f t="shared" si="42"/>
        <v>0</v>
      </c>
      <c r="AD801" s="1366"/>
      <c r="AE801" s="1366"/>
      <c r="AF801" s="1366"/>
      <c r="AG801" s="136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2.95" customHeight="1">
      <c r="A802"/>
      <c r="B802"/>
      <c r="C802"/>
      <c r="D802"/>
      <c r="E802"/>
      <c r="F802"/>
      <c r="G802"/>
      <c r="H802"/>
      <c r="I802"/>
      <c r="J802" s="1362"/>
      <c r="K802" s="1363"/>
      <c r="L802" s="1363"/>
      <c r="M802" s="1363"/>
      <c r="N802" s="1364"/>
      <c r="O802" s="1496"/>
      <c r="P802" s="1496"/>
      <c r="Q802" s="1496"/>
      <c r="R802" s="1496"/>
      <c r="S802" s="1496"/>
      <c r="T802" s="1489"/>
      <c r="U802" s="1490"/>
      <c r="V802" s="1490"/>
      <c r="W802" s="1491"/>
      <c r="X802" s="1378"/>
      <c r="Y802" s="1379"/>
      <c r="Z802" s="1379"/>
      <c r="AA802" s="1379"/>
      <c r="AB802" s="1380"/>
      <c r="AC802" s="1365">
        <f t="shared" si="42"/>
        <v>0</v>
      </c>
      <c r="AD802" s="1366"/>
      <c r="AE802" s="1366"/>
      <c r="AF802" s="1366"/>
      <c r="AG802" s="136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2.95" customHeight="1">
      <c r="A803"/>
      <c r="B803"/>
      <c r="C803"/>
      <c r="D803"/>
      <c r="E803"/>
      <c r="F803"/>
      <c r="G803"/>
      <c r="H803"/>
      <c r="I803"/>
      <c r="J803" s="1362"/>
      <c r="K803" s="1363"/>
      <c r="L803" s="1363"/>
      <c r="M803" s="1363"/>
      <c r="N803" s="1364"/>
      <c r="O803" s="1496"/>
      <c r="P803" s="1496"/>
      <c r="Q803" s="1496"/>
      <c r="R803" s="1496"/>
      <c r="S803" s="1496"/>
      <c r="T803" s="1489"/>
      <c r="U803" s="1490"/>
      <c r="V803" s="1490"/>
      <c r="W803" s="1491"/>
      <c r="X803" s="1378"/>
      <c r="Y803" s="1379"/>
      <c r="Z803" s="1379"/>
      <c r="AA803" s="1379"/>
      <c r="AB803" s="1380"/>
      <c r="AC803" s="1365">
        <f t="shared" si="42"/>
        <v>0</v>
      </c>
      <c r="AD803" s="1366"/>
      <c r="AE803" s="1366"/>
      <c r="AF803" s="1366"/>
      <c r="AG803" s="136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2.95" customHeight="1">
      <c r="A804"/>
      <c r="B804"/>
      <c r="C804"/>
      <c r="D804"/>
      <c r="E804"/>
      <c r="F804"/>
      <c r="G804"/>
      <c r="H804"/>
      <c r="I804"/>
      <c r="J804" s="1362"/>
      <c r="K804" s="1363"/>
      <c r="L804" s="1363"/>
      <c r="M804" s="1363"/>
      <c r="N804" s="1364"/>
      <c r="O804" s="1496"/>
      <c r="P804" s="1496"/>
      <c r="Q804" s="1496"/>
      <c r="R804" s="1496"/>
      <c r="S804" s="1496"/>
      <c r="T804" s="1489"/>
      <c r="U804" s="1490"/>
      <c r="V804" s="1490"/>
      <c r="W804" s="1491"/>
      <c r="X804" s="1378"/>
      <c r="Y804" s="1379"/>
      <c r="Z804" s="1379"/>
      <c r="AA804" s="1379"/>
      <c r="AB804" s="1380"/>
      <c r="AC804" s="1365">
        <f t="shared" si="42"/>
        <v>0</v>
      </c>
      <c r="AD804" s="1366"/>
      <c r="AE804" s="1366"/>
      <c r="AF804" s="1366"/>
      <c r="AG804" s="1367"/>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2.95" customHeight="1">
      <c r="A805"/>
      <c r="B805"/>
      <c r="C805"/>
      <c r="D805"/>
      <c r="E805"/>
      <c r="F805"/>
      <c r="G805"/>
      <c r="H805"/>
      <c r="I805"/>
      <c r="J805" s="1419" t="s">
        <v>125</v>
      </c>
      <c r="K805" s="1420"/>
      <c r="L805" s="1420"/>
      <c r="M805" s="1420"/>
      <c r="N805" s="1422"/>
      <c r="O805" s="1618">
        <f>SUM(O795:S804)</f>
        <v>0</v>
      </c>
      <c r="P805" s="1618"/>
      <c r="Q805" s="1618"/>
      <c r="R805" s="1618"/>
      <c r="S805" s="1618"/>
      <c r="T805"/>
      <c r="U805"/>
      <c r="V805"/>
      <c r="W805"/>
      <c r="X805" s="898" t="s">
        <v>124</v>
      </c>
      <c r="Y805" s="11"/>
      <c r="Z805" s="11"/>
      <c r="AA805" s="11"/>
      <c r="AB805" s="905"/>
      <c r="AC805" s="1365">
        <f>SUM(AC795:AG804)</f>
        <v>0</v>
      </c>
      <c r="AD805" s="1366"/>
      <c r="AE805" s="1366"/>
      <c r="AF805" s="1366"/>
      <c r="AG805" s="1367"/>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5" customHeight="1">
      <c r="A806"/>
      <c r="B806"/>
      <c r="C806" s="1615" t="str">
        <f>IF(O805&lt;&gt;AG447,"! Total market rate units in the Unit Mix Table above does not match the number of  market rate units on row #"&amp;TEXT(ROW(D447),"#"),"")</f>
        <v/>
      </c>
      <c r="D806" s="1615"/>
      <c r="E806" s="1615"/>
      <c r="F806" s="1615"/>
      <c r="G806" s="1615"/>
      <c r="H806" s="1615"/>
      <c r="I806" s="1615"/>
      <c r="J806" s="1615"/>
      <c r="K806" s="1615"/>
      <c r="L806" s="1615"/>
      <c r="M806" s="1615"/>
      <c r="N806" s="1615"/>
      <c r="O806" s="1615"/>
      <c r="P806" s="1615"/>
      <c r="Q806" s="1615"/>
      <c r="R806" s="1615"/>
      <c r="S806" s="1615"/>
      <c r="T806" s="1615"/>
      <c r="U806" s="1615"/>
      <c r="V806" s="1615"/>
      <c r="W806" s="1615"/>
      <c r="X806" s="1615"/>
      <c r="Y806" s="1615"/>
      <c r="Z806" s="1615"/>
      <c r="AA806" s="1615"/>
      <c r="AB806" s="1615"/>
      <c r="AC806" s="1615"/>
      <c r="AD806" s="1615"/>
      <c r="AE806" s="1615"/>
      <c r="AF806" s="1615"/>
      <c r="AG806" s="1615"/>
      <c r="AH806" s="1615"/>
      <c r="AI806" s="1615"/>
      <c r="AJ806" s="1615"/>
      <c r="AK806" s="1615"/>
      <c r="AL806" s="1615"/>
      <c r="AM806" s="1615"/>
      <c r="AN806" s="1615"/>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15"/>
      <c r="D807" s="1615"/>
      <c r="E807" s="1615"/>
      <c r="F807" s="1615"/>
      <c r="G807" s="1615"/>
      <c r="H807" s="1615"/>
      <c r="I807" s="1615"/>
      <c r="J807" s="1615"/>
      <c r="K807" s="1615"/>
      <c r="L807" s="1615"/>
      <c r="M807" s="1615"/>
      <c r="N807" s="1615"/>
      <c r="O807" s="1615"/>
      <c r="P807" s="1615"/>
      <c r="Q807" s="1615"/>
      <c r="R807" s="1615"/>
      <c r="S807" s="1615"/>
      <c r="T807" s="1615"/>
      <c r="U807" s="1615"/>
      <c r="V807" s="1615"/>
      <c r="W807" s="1615"/>
      <c r="X807" s="1615"/>
      <c r="Y807" s="1615"/>
      <c r="Z807" s="1615"/>
      <c r="AA807" s="1615"/>
      <c r="AB807" s="1615"/>
      <c r="AC807" s="1615"/>
      <c r="AD807" s="1615"/>
      <c r="AE807" s="1615"/>
      <c r="AF807" s="1615"/>
      <c r="AG807" s="1615"/>
      <c r="AH807" s="1615"/>
      <c r="AI807" s="1615"/>
      <c r="AJ807" s="1615"/>
      <c r="AK807" s="1615"/>
      <c r="AL807" s="1615"/>
      <c r="AM807" s="1615"/>
      <c r="AN807" s="1615"/>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2">
        <f>SUM(DU805:EX805)</f>
        <v>0</v>
      </c>
      <c r="EU807" s="1353"/>
      <c r="EV807" s="1353"/>
      <c r="EW807" s="1353"/>
      <c r="EX807" s="1354"/>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57">
        <f>O761+AC785+AC805</f>
        <v>273302.5</v>
      </c>
      <c r="Z808" s="1657"/>
      <c r="AA808" s="1657"/>
      <c r="AB808" s="1657"/>
      <c r="AC808" s="165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57">
        <f>(O761+AC785+AC805)*12</f>
        <v>3279630</v>
      </c>
      <c r="Z809" s="1657"/>
      <c r="AA809" s="1657"/>
      <c r="AB809" s="1657"/>
      <c r="AC809" s="165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0</v>
      </c>
      <c r="CQ810" s="1356"/>
      <c r="CR810" s="1356"/>
      <c r="CS810" s="1356"/>
      <c r="CT810" s="1357"/>
      <c r="CU810" s="1355">
        <f>CU761+CU785+CU805</f>
        <v>73</v>
      </c>
      <c r="CV810" s="1356"/>
      <c r="CW810" s="1356"/>
      <c r="CX810" s="1356"/>
      <c r="CY810" s="1357"/>
      <c r="CZ810" s="1355">
        <f>CZ761+CZ785+CZ805</f>
        <v>51</v>
      </c>
      <c r="DA810" s="1356"/>
      <c r="DB810" s="1356"/>
      <c r="DC810" s="1356"/>
      <c r="DD810" s="1357"/>
      <c r="DE810" s="1355">
        <f>DE761+DE785+DE805</f>
        <v>23</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243</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85">
        <v>0</v>
      </c>
      <c r="AA814" s="1654"/>
      <c r="AB814" s="1654"/>
      <c r="AC814" s="1654"/>
      <c r="AD814" s="1654"/>
      <c r="AE814" s="1655"/>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53">
        <v>0</v>
      </c>
      <c r="AA815" s="1654"/>
      <c r="AB815" s="1654"/>
      <c r="AC815" s="1654"/>
      <c r="AD815" s="1654"/>
      <c r="AE815" s="1655"/>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86" t="s">
        <v>2731</v>
      </c>
      <c r="AA816" s="1497"/>
      <c r="AB816" s="1497"/>
      <c r="AC816" s="1497"/>
      <c r="AD816" s="1497"/>
      <c r="AE816" s="1687"/>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2">
        <f>'Subsidy Contract Calculation'!J40</f>
        <v>0</v>
      </c>
      <c r="AA817" s="1483"/>
      <c r="AB817" s="1483"/>
      <c r="AC817" s="1483"/>
      <c r="AD817" s="1483"/>
      <c r="AE817" s="148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5">
        <v>50000</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5">
        <v>13200</v>
      </c>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5"/>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12" t="s">
        <v>2742</v>
      </c>
      <c r="Q824" s="1613"/>
      <c r="R824" s="1613"/>
      <c r="S824" s="1613"/>
      <c r="T824" s="1613"/>
      <c r="U824" s="1613"/>
      <c r="V824" s="1613"/>
      <c r="W824" s="1613"/>
      <c r="X824" s="1613"/>
      <c r="Y824" s="1614"/>
      <c r="Z824" s="1485">
        <f>324000-Z821-Z822</f>
        <v>260800</v>
      </c>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2">
        <f>SUM(Z821:AE824)</f>
        <v>324000</v>
      </c>
      <c r="AA825" s="1483"/>
      <c r="AB825" s="1483"/>
      <c r="AC825" s="1483"/>
      <c r="AD825" s="1483"/>
      <c r="AE825" s="148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82">
        <f>Z825+Y809+Z817</f>
        <v>3603630</v>
      </c>
      <c r="AA826" s="1483"/>
      <c r="AB826" s="1483"/>
      <c r="AC826" s="1483"/>
      <c r="AD826" s="1483"/>
      <c r="AE826" s="148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04" t="s">
        <v>126</v>
      </c>
      <c r="N831" s="1704"/>
      <c r="O831" s="1704"/>
      <c r="P831" s="1705"/>
      <c r="Q831" s="1647" t="s">
        <v>290</v>
      </c>
      <c r="R831" s="1647"/>
      <c r="S831" s="1647"/>
      <c r="T831" s="1647"/>
      <c r="U831" s="1647" t="s">
        <v>291</v>
      </c>
      <c r="V831" s="1647"/>
      <c r="W831" s="1647"/>
      <c r="X831" s="1647"/>
      <c r="Y831" s="1647" t="s">
        <v>292</v>
      </c>
      <c r="Z831" s="1647"/>
      <c r="AA831" s="1647"/>
      <c r="AB831" s="1647"/>
      <c r="AC831" s="1647" t="s">
        <v>361</v>
      </c>
      <c r="AD831" s="1647"/>
      <c r="AE831" s="1647"/>
      <c r="AF831" s="1647"/>
      <c r="AG831" s="1658" t="s">
        <v>335</v>
      </c>
      <c r="AH831" s="1658"/>
      <c r="AI831" s="1658"/>
      <c r="AJ831" s="1658"/>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06"/>
      <c r="N832" s="1706"/>
      <c r="O832" s="1706"/>
      <c r="P832" s="1707"/>
      <c r="Q832" s="1647"/>
      <c r="R832" s="1647"/>
      <c r="S832" s="1647"/>
      <c r="T832" s="1647"/>
      <c r="U832" s="1647"/>
      <c r="V832" s="1647"/>
      <c r="W832" s="1647"/>
      <c r="X832" s="1647"/>
      <c r="Y832" s="1647"/>
      <c r="Z832" s="1647"/>
      <c r="AA832" s="1647"/>
      <c r="AB832" s="1647"/>
      <c r="AC832" s="1647"/>
      <c r="AD832" s="1647"/>
      <c r="AE832" s="1647"/>
      <c r="AF832" s="1647"/>
      <c r="AG832" s="1658"/>
      <c r="AH832" s="1658"/>
      <c r="AI832" s="1658"/>
      <c r="AJ832" s="1658"/>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17" t="s">
        <v>40</v>
      </c>
      <c r="D833" s="1391"/>
      <c r="E833" s="1391"/>
      <c r="F833" s="1391"/>
      <c r="G833" s="1391"/>
      <c r="H833" s="1391"/>
      <c r="I833" s="48"/>
      <c r="J833" s="48"/>
      <c r="K833" s="48"/>
      <c r="L833" s="49"/>
      <c r="M833" s="1611"/>
      <c r="N833" s="1611"/>
      <c r="O833" s="1611"/>
      <c r="P833" s="1611"/>
      <c r="Q833" s="1611">
        <v>9</v>
      </c>
      <c r="R833" s="1611"/>
      <c r="S833" s="1611"/>
      <c r="T833" s="1611"/>
      <c r="U833" s="1611">
        <v>12</v>
      </c>
      <c r="V833" s="1611"/>
      <c r="W833" s="1611"/>
      <c r="X833" s="1611"/>
      <c r="Y833" s="1611">
        <v>15</v>
      </c>
      <c r="Z833" s="1611"/>
      <c r="AA833" s="1611"/>
      <c r="AB833" s="1611"/>
      <c r="AC833" s="1602"/>
      <c r="AD833" s="1603"/>
      <c r="AE833" s="1603"/>
      <c r="AF833" s="1604"/>
      <c r="AG833" s="1602"/>
      <c r="AH833" s="1603"/>
      <c r="AI833" s="1603"/>
      <c r="AJ833" s="1604"/>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98" t="s">
        <v>41</v>
      </c>
      <c r="D834" s="1399"/>
      <c r="E834" s="1399"/>
      <c r="F834" s="1399"/>
      <c r="G834" s="1399"/>
      <c r="H834" s="1399"/>
      <c r="I834" s="5"/>
      <c r="J834" s="5"/>
      <c r="K834" s="5"/>
      <c r="L834" s="46"/>
      <c r="M834" s="1611"/>
      <c r="N834" s="1611"/>
      <c r="O834" s="1611"/>
      <c r="P834" s="1611"/>
      <c r="Q834" s="1611"/>
      <c r="R834" s="1611"/>
      <c r="S834" s="1611"/>
      <c r="T834" s="1611"/>
      <c r="U834" s="1611"/>
      <c r="V834" s="1611"/>
      <c r="W834" s="1611"/>
      <c r="X834" s="1611"/>
      <c r="Y834" s="1611"/>
      <c r="Z834" s="1611"/>
      <c r="AA834" s="1611"/>
      <c r="AB834" s="1611"/>
      <c r="AC834" s="1602"/>
      <c r="AD834" s="1603"/>
      <c r="AE834" s="1603"/>
      <c r="AF834" s="1604"/>
      <c r="AG834" s="1602"/>
      <c r="AH834" s="1603"/>
      <c r="AI834" s="1603"/>
      <c r="AJ834" s="1604"/>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98" t="s">
        <v>42</v>
      </c>
      <c r="D835" s="1399"/>
      <c r="E835" s="1399"/>
      <c r="F835" s="1399"/>
      <c r="G835" s="1399"/>
      <c r="H835" s="1399"/>
      <c r="I835" s="60"/>
      <c r="J835" s="60"/>
      <c r="K835" s="60"/>
      <c r="L835" s="61"/>
      <c r="M835" s="1611"/>
      <c r="N835" s="1611"/>
      <c r="O835" s="1611"/>
      <c r="P835" s="1611"/>
      <c r="Q835" s="1611">
        <v>4</v>
      </c>
      <c r="R835" s="1611"/>
      <c r="S835" s="1611"/>
      <c r="T835" s="1611"/>
      <c r="U835" s="1611">
        <v>6</v>
      </c>
      <c r="V835" s="1611"/>
      <c r="W835" s="1611"/>
      <c r="X835" s="1611"/>
      <c r="Y835" s="1611">
        <v>7</v>
      </c>
      <c r="Z835" s="1611"/>
      <c r="AA835" s="1611"/>
      <c r="AB835" s="1611"/>
      <c r="AC835" s="1602"/>
      <c r="AD835" s="1603"/>
      <c r="AE835" s="1603"/>
      <c r="AF835" s="1604"/>
      <c r="AG835" s="1602"/>
      <c r="AH835" s="1603"/>
      <c r="AI835" s="1603"/>
      <c r="AJ835" s="1604"/>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98" t="s">
        <v>762</v>
      </c>
      <c r="D836" s="1399"/>
      <c r="E836" s="1399"/>
      <c r="F836" s="1399"/>
      <c r="G836" s="1399"/>
      <c r="H836" s="1399"/>
      <c r="I836" s="60"/>
      <c r="J836" s="60"/>
      <c r="K836" s="60"/>
      <c r="L836" s="61"/>
      <c r="M836" s="1611"/>
      <c r="N836" s="1611"/>
      <c r="O836" s="1611"/>
      <c r="P836" s="1611"/>
      <c r="Q836" s="1611"/>
      <c r="R836" s="1611"/>
      <c r="S836" s="1611"/>
      <c r="T836" s="1611"/>
      <c r="U836" s="1611"/>
      <c r="V836" s="1611"/>
      <c r="W836" s="1611"/>
      <c r="X836" s="1611"/>
      <c r="Y836" s="1611"/>
      <c r="Z836" s="1611"/>
      <c r="AA836" s="1611"/>
      <c r="AB836" s="1611"/>
      <c r="AC836" s="1602"/>
      <c r="AD836" s="1603"/>
      <c r="AE836" s="1603"/>
      <c r="AF836" s="1604"/>
      <c r="AG836" s="1602"/>
      <c r="AH836" s="1603"/>
      <c r="AI836" s="1603"/>
      <c r="AJ836" s="1604"/>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98" t="s">
        <v>459</v>
      </c>
      <c r="D837" s="1399"/>
      <c r="E837" s="1399"/>
      <c r="F837" s="1399"/>
      <c r="G837" s="1399"/>
      <c r="H837" s="1399"/>
      <c r="I837" s="60"/>
      <c r="J837" s="60"/>
      <c r="K837" s="60"/>
      <c r="L837" s="61"/>
      <c r="M837" s="1611"/>
      <c r="N837" s="1611"/>
      <c r="O837" s="1611"/>
      <c r="P837" s="1611"/>
      <c r="Q837" s="1611">
        <v>24</v>
      </c>
      <c r="R837" s="1611"/>
      <c r="S837" s="1611"/>
      <c r="T837" s="1611"/>
      <c r="U837" s="1611">
        <v>30</v>
      </c>
      <c r="V837" s="1611"/>
      <c r="W837" s="1611"/>
      <c r="X837" s="1611"/>
      <c r="Y837" s="1611">
        <v>37</v>
      </c>
      <c r="Z837" s="1611"/>
      <c r="AA837" s="1611"/>
      <c r="AB837" s="1611"/>
      <c r="AC837" s="1602"/>
      <c r="AD837" s="1603"/>
      <c r="AE837" s="1603"/>
      <c r="AF837" s="1604"/>
      <c r="AG837" s="1602"/>
      <c r="AH837" s="1603"/>
      <c r="AI837" s="1603"/>
      <c r="AJ837" s="1604"/>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97" t="s">
        <v>783</v>
      </c>
      <c r="D838" s="1399"/>
      <c r="E838" s="1399"/>
      <c r="F838" s="1399"/>
      <c r="G838" s="1399"/>
      <c r="H838" s="1399"/>
      <c r="I838" s="60"/>
      <c r="J838" s="60"/>
      <c r="K838" s="60"/>
      <c r="L838" s="61"/>
      <c r="M838" s="1611"/>
      <c r="N838" s="1611"/>
      <c r="O838" s="1611"/>
      <c r="P838" s="1611"/>
      <c r="Q838" s="1611"/>
      <c r="R838" s="1611"/>
      <c r="S838" s="1611"/>
      <c r="T838" s="1611"/>
      <c r="U838" s="1611"/>
      <c r="V838" s="1611"/>
      <c r="W838" s="1611"/>
      <c r="X838" s="1611"/>
      <c r="Y838" s="1611"/>
      <c r="Z838" s="1611"/>
      <c r="AA838" s="1611"/>
      <c r="AB838" s="1611"/>
      <c r="AC838" s="1602"/>
      <c r="AD838" s="1603"/>
      <c r="AE838" s="1603"/>
      <c r="AF838" s="1604"/>
      <c r="AG838" s="1602"/>
      <c r="AH838" s="1603"/>
      <c r="AI838" s="1603"/>
      <c r="AJ838" s="1604"/>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12" t="s">
        <v>2727</v>
      </c>
      <c r="G839" s="1613"/>
      <c r="H839" s="1613"/>
      <c r="I839" s="1613"/>
      <c r="J839" s="1613"/>
      <c r="K839" s="1613"/>
      <c r="L839" s="1613"/>
      <c r="M839" s="1611"/>
      <c r="N839" s="1611"/>
      <c r="O839" s="1611"/>
      <c r="P839" s="1611"/>
      <c r="Q839" s="1611">
        <v>11</v>
      </c>
      <c r="R839" s="1611"/>
      <c r="S839" s="1611"/>
      <c r="T839" s="1611"/>
      <c r="U839" s="1611">
        <v>14</v>
      </c>
      <c r="V839" s="1611"/>
      <c r="W839" s="1611"/>
      <c r="X839" s="1611"/>
      <c r="Y839" s="1611">
        <v>17</v>
      </c>
      <c r="Z839" s="1611"/>
      <c r="AA839" s="1611"/>
      <c r="AB839" s="1611"/>
      <c r="AC839" s="1602"/>
      <c r="AD839" s="1603"/>
      <c r="AE839" s="1603"/>
      <c r="AF839" s="1604"/>
      <c r="AG839" s="1602"/>
      <c r="AH839" s="1603"/>
      <c r="AI839" s="1603"/>
      <c r="AJ839" s="1604"/>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19" t="s">
        <v>124</v>
      </c>
      <c r="D840" s="1420"/>
      <c r="E840" s="1420"/>
      <c r="F840" s="1420"/>
      <c r="G840" s="1420"/>
      <c r="H840" s="1420"/>
      <c r="I840" s="1420"/>
      <c r="J840" s="1420"/>
      <c r="K840" s="1420"/>
      <c r="L840" s="1422"/>
      <c r="M840" s="1682">
        <f>SUM(M833:P839)</f>
        <v>0</v>
      </c>
      <c r="N840" s="1682"/>
      <c r="O840" s="1682"/>
      <c r="P840" s="1682"/>
      <c r="Q840" s="1682">
        <f>SUM(Q833:T839)</f>
        <v>48</v>
      </c>
      <c r="R840" s="1682"/>
      <c r="S840" s="1682"/>
      <c r="T840" s="1682"/>
      <c r="U840" s="1682">
        <f>SUM(U833:X839)</f>
        <v>62</v>
      </c>
      <c r="V840" s="1682"/>
      <c r="W840" s="1682"/>
      <c r="X840" s="1682"/>
      <c r="Y840" s="1682">
        <f>SUM(Y833:AB839)</f>
        <v>76</v>
      </c>
      <c r="Z840" s="1682"/>
      <c r="AA840" s="1682"/>
      <c r="AB840" s="1682"/>
      <c r="AC840" s="1682">
        <f>SUM(AC833:AF839)</f>
        <v>0</v>
      </c>
      <c r="AD840" s="1682"/>
      <c r="AE840" s="1682"/>
      <c r="AF840" s="1682"/>
      <c r="AG840" s="1682">
        <f>SUM(AG833:AJ839)</f>
        <v>0</v>
      </c>
      <c r="AH840" s="1682"/>
      <c r="AI840" s="1682"/>
      <c r="AJ840" s="1682"/>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21" t="s">
        <v>2726</v>
      </c>
      <c r="D845" s="1622"/>
      <c r="E845" s="1622"/>
      <c r="F845" s="1622"/>
      <c r="G845" s="1622"/>
      <c r="H845" s="1622"/>
      <c r="I845" s="1622"/>
      <c r="J845" s="1622"/>
      <c r="K845" s="1622"/>
      <c r="L845" s="1622"/>
      <c r="M845" s="1622"/>
      <c r="N845" s="1622"/>
      <c r="O845" s="1622"/>
      <c r="P845" s="1622"/>
      <c r="Q845" s="1622"/>
      <c r="R845" s="1622"/>
      <c r="S845" s="1622"/>
      <c r="T845" s="1622"/>
      <c r="U845" s="1622"/>
      <c r="V845" s="1622"/>
      <c r="W845" s="1622"/>
      <c r="X845" s="1622"/>
      <c r="Y845" s="1622"/>
      <c r="Z845" s="1622"/>
      <c r="AA845" s="1622"/>
      <c r="AB845" s="1622"/>
      <c r="AC845" s="1622"/>
      <c r="AD845" s="1622"/>
      <c r="AE845" s="1622"/>
      <c r="AF845" s="1622"/>
      <c r="AG845" s="1622"/>
      <c r="AH845" s="1622"/>
      <c r="AI845" s="1622"/>
      <c r="AJ845" s="1623"/>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44"/>
      <c r="BJ849" s="1644"/>
      <c r="BK849" s="1644"/>
      <c r="BL849" s="1644"/>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20">
        <v>9011</v>
      </c>
      <c r="X850" s="1620"/>
      <c r="Y850" s="1620"/>
      <c r="Z850" s="1620"/>
      <c r="AA850" s="1620"/>
      <c r="AB850" s="1620"/>
      <c r="AC850" s="1620"/>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20">
        <v>35306</v>
      </c>
      <c r="X851" s="1620"/>
      <c r="Y851" s="1620"/>
      <c r="Z851" s="1620"/>
      <c r="AA851" s="1620"/>
      <c r="AB851" s="1620"/>
      <c r="AC851" s="1620"/>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20">
        <v>29340</v>
      </c>
      <c r="X852" s="1620"/>
      <c r="Y852" s="1620"/>
      <c r="Z852" s="1620"/>
      <c r="AA852" s="1620"/>
      <c r="AB852" s="1620"/>
      <c r="AC852" s="1620"/>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20">
        <v>38323</v>
      </c>
      <c r="X853" s="1620"/>
      <c r="Y853" s="1620"/>
      <c r="Z853" s="1620"/>
      <c r="AA853" s="1620"/>
      <c r="AB853" s="1620"/>
      <c r="AC853" s="1620"/>
      <c r="AZ853" s="30"/>
      <c r="BA853" s="30"/>
      <c r="BB853" s="14"/>
      <c r="BC853" s="14"/>
      <c r="BD853" s="14"/>
      <c r="BE853" s="14"/>
      <c r="BF853" s="14"/>
      <c r="BG853" s="14"/>
      <c r="BH853" s="14"/>
      <c r="BI853" s="14"/>
      <c r="BJ853" s="14"/>
      <c r="BK853" s="14"/>
      <c r="BL853" s="14"/>
    </row>
    <row r="854" spans="1:64" ht="12.95" customHeight="1">
      <c r="J854" s="45" t="s">
        <v>170</v>
      </c>
      <c r="K854" s="5"/>
      <c r="L854" s="5"/>
      <c r="M854" s="1612" t="s">
        <v>2722</v>
      </c>
      <c r="N854" s="1613"/>
      <c r="O854" s="1613"/>
      <c r="P854" s="1613"/>
      <c r="Q854" s="1613"/>
      <c r="R854" s="1613"/>
      <c r="S854" s="1613"/>
      <c r="T854" s="1613"/>
      <c r="U854" s="1613"/>
      <c r="V854" s="1614"/>
      <c r="W854" s="1620">
        <f>45278-2476</f>
        <v>42802</v>
      </c>
      <c r="X854" s="1620"/>
      <c r="Y854" s="1620"/>
      <c r="Z854" s="1620"/>
      <c r="AA854" s="1620"/>
      <c r="AB854" s="1620"/>
      <c r="AC854" s="1620"/>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82">
        <f>SUM(W850:W854)</f>
        <v>154782</v>
      </c>
      <c r="X855" s="1483"/>
      <c r="Y855" s="1483"/>
      <c r="Z855" s="1483"/>
      <c r="AA855" s="1483"/>
      <c r="AB855" s="1483"/>
      <c r="AC855" s="1484"/>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19"/>
      <c r="BH856" s="1619"/>
      <c r="BI856" s="1619"/>
      <c r="BJ856" s="1619"/>
      <c r="BK856" s="1619"/>
      <c r="BL856" s="1619"/>
    </row>
    <row r="857" spans="1:64" ht="12.95" customHeight="1">
      <c r="C857" s="2" t="s">
        <v>344</v>
      </c>
      <c r="J857" s="1419" t="s">
        <v>345</v>
      </c>
      <c r="K857" s="1420"/>
      <c r="L857" s="1420"/>
      <c r="M857" s="1420"/>
      <c r="N857" s="1420"/>
      <c r="O857" s="1420"/>
      <c r="P857" s="1420"/>
      <c r="Q857" s="1420"/>
      <c r="R857" s="1420"/>
      <c r="S857" s="1420"/>
      <c r="T857" s="1420"/>
      <c r="U857" s="1420"/>
      <c r="V857" s="1422"/>
      <c r="W857" s="1485">
        <v>128339</v>
      </c>
      <c r="X857" s="1345"/>
      <c r="Y857" s="1345"/>
      <c r="Z857" s="1345"/>
      <c r="AA857" s="1345"/>
      <c r="AB857" s="1345"/>
      <c r="AC857" s="1346"/>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40"/>
      <c r="X859" s="1640"/>
      <c r="Y859" s="1640"/>
      <c r="Z859" s="1640"/>
      <c r="AA859" s="1640"/>
      <c r="AB859" s="1640"/>
      <c r="AC859" s="1640"/>
      <c r="AZ859" s="1627"/>
      <c r="BA859" s="1627"/>
      <c r="BB859" s="14"/>
      <c r="BC859" s="14"/>
    </row>
    <row r="860" spans="1:64" ht="12.95" customHeight="1">
      <c r="J860" s="45" t="s">
        <v>351</v>
      </c>
      <c r="K860" s="5"/>
      <c r="L860" s="5"/>
      <c r="M860" s="5"/>
      <c r="N860" s="5"/>
      <c r="O860" s="5"/>
      <c r="P860" s="5"/>
      <c r="Q860" s="5"/>
      <c r="R860" s="5"/>
      <c r="S860" s="5"/>
      <c r="T860" s="5"/>
      <c r="U860" s="5"/>
      <c r="V860" s="46"/>
      <c r="W860" s="1640"/>
      <c r="X860" s="1640"/>
      <c r="Y860" s="1640"/>
      <c r="Z860" s="1640"/>
      <c r="AA860" s="1640"/>
      <c r="AB860" s="1640"/>
      <c r="AC860" s="1640"/>
      <c r="AZ860" s="30"/>
      <c r="BA860" s="30"/>
      <c r="BB860" s="14"/>
      <c r="BC860" s="14"/>
    </row>
    <row r="861" spans="1:64" ht="12.95" customHeight="1">
      <c r="J861" s="45" t="s">
        <v>459</v>
      </c>
      <c r="K861" s="5"/>
      <c r="L861" s="5"/>
      <c r="M861" s="5"/>
      <c r="N861" s="5"/>
      <c r="O861" s="5"/>
      <c r="P861" s="5"/>
      <c r="Q861" s="5"/>
      <c r="R861" s="5"/>
      <c r="S861" s="5"/>
      <c r="T861" s="5"/>
      <c r="U861" s="5"/>
      <c r="V861" s="46"/>
      <c r="W861" s="1640">
        <f>56419+31769</f>
        <v>88188</v>
      </c>
      <c r="X861" s="1640"/>
      <c r="Y861" s="1640"/>
      <c r="Z861" s="1640"/>
      <c r="AA861" s="1640"/>
      <c r="AB861" s="1640"/>
      <c r="AC861" s="1640"/>
      <c r="AZ861" s="30"/>
      <c r="BA861" s="30"/>
      <c r="BB861" s="14"/>
      <c r="BC861" s="14"/>
    </row>
    <row r="862" spans="1:64" ht="12.95" customHeight="1">
      <c r="J862" s="62" t="s">
        <v>620</v>
      </c>
      <c r="K862" s="5"/>
      <c r="L862" s="5"/>
      <c r="M862" s="5"/>
      <c r="N862" s="5"/>
      <c r="O862" s="5"/>
      <c r="P862" s="5"/>
      <c r="Q862" s="5"/>
      <c r="R862" s="5"/>
      <c r="S862" s="5"/>
      <c r="T862" s="5"/>
      <c r="U862" s="5"/>
      <c r="V862" s="46"/>
      <c r="W862" s="1640">
        <v>60671</v>
      </c>
      <c r="X862" s="1640"/>
      <c r="Y862" s="1640"/>
      <c r="Z862" s="1640"/>
      <c r="AA862" s="1640"/>
      <c r="AB862" s="1640"/>
      <c r="AC862" s="1640"/>
      <c r="AZ862" s="34"/>
      <c r="BA862" s="34"/>
      <c r="BB862" s="34"/>
      <c r="BC862" s="34"/>
    </row>
    <row r="863" spans="1:64" ht="12.95" customHeight="1">
      <c r="J863" s="63"/>
      <c r="K863" s="48"/>
      <c r="L863" s="48"/>
      <c r="M863" s="48"/>
      <c r="N863" s="48"/>
      <c r="O863" s="48"/>
      <c r="P863" s="48"/>
      <c r="Q863" s="48"/>
      <c r="R863" s="48"/>
      <c r="S863" s="48"/>
      <c r="T863" s="48"/>
      <c r="U863" s="48"/>
      <c r="V863" s="54" t="s">
        <v>272</v>
      </c>
      <c r="W863" s="1641">
        <f>SUM(W859:W862)</f>
        <v>148859</v>
      </c>
      <c r="X863" s="1641"/>
      <c r="Y863" s="1641"/>
      <c r="Z863" s="1641"/>
      <c r="AA863" s="1641"/>
      <c r="AB863" s="1641"/>
      <c r="AC863" s="1641"/>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37">
        <v>105351</v>
      </c>
      <c r="X865" s="1638"/>
      <c r="Y865" s="1638"/>
      <c r="Z865" s="1638"/>
      <c r="AA865" s="1638"/>
      <c r="AB865" s="1638"/>
      <c r="AC865" s="1639"/>
      <c r="AD865" s="528"/>
      <c r="AZ865" s="34"/>
      <c r="BA865" s="34"/>
      <c r="BB865" s="34"/>
      <c r="BC865" s="34"/>
    </row>
    <row r="866" spans="3:55" ht="12.95" customHeight="1">
      <c r="C866" s="2" t="s">
        <v>347</v>
      </c>
      <c r="J866" s="121" t="s">
        <v>1643</v>
      </c>
      <c r="K866" s="5"/>
      <c r="L866" s="5"/>
      <c r="M866" s="5"/>
      <c r="N866" s="5"/>
      <c r="O866" s="5"/>
      <c r="P866" s="5"/>
      <c r="Q866" s="5"/>
      <c r="R866" s="5"/>
      <c r="S866" s="5"/>
      <c r="T866" s="1642">
        <v>1</v>
      </c>
      <c r="U866" s="1590"/>
      <c r="V866" s="1643"/>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37">
        <v>87884</v>
      </c>
      <c r="X867" s="1638"/>
      <c r="Y867" s="1638"/>
      <c r="Z867" s="1638"/>
      <c r="AA867" s="1638"/>
      <c r="AB867" s="1638"/>
      <c r="AC867" s="1639"/>
      <c r="AD867" s="533"/>
      <c r="AZ867" s="34"/>
      <c r="BA867" s="34"/>
      <c r="BB867" s="34"/>
      <c r="BC867" s="34"/>
    </row>
    <row r="868" spans="3:55" ht="12.95" customHeight="1">
      <c r="C868" s="2"/>
      <c r="J868" s="121" t="s">
        <v>1644</v>
      </c>
      <c r="K868" s="5"/>
      <c r="L868" s="5"/>
      <c r="M868" s="5"/>
      <c r="N868" s="5"/>
      <c r="O868" s="5"/>
      <c r="P868" s="5"/>
      <c r="Q868" s="5"/>
      <c r="R868" s="5"/>
      <c r="S868" s="5"/>
      <c r="T868" s="1642">
        <v>1</v>
      </c>
      <c r="U868" s="1590"/>
      <c r="V868" s="1643"/>
      <c r="W868" s="870"/>
      <c r="X868" s="871"/>
      <c r="Y868" s="871"/>
      <c r="Z868" s="871"/>
      <c r="AA868" s="871"/>
      <c r="AB868" s="871"/>
      <c r="AC868" s="872"/>
      <c r="AD868" s="533"/>
      <c r="AZ868" s="34"/>
      <c r="BA868" s="34"/>
      <c r="BB868" s="34"/>
      <c r="BC868" s="34"/>
    </row>
    <row r="869" spans="3:55" ht="12.95" customHeight="1">
      <c r="J869" s="45" t="s">
        <v>170</v>
      </c>
      <c r="K869" s="5"/>
      <c r="L869" s="5"/>
      <c r="M869" s="1612" t="s">
        <v>2723</v>
      </c>
      <c r="N869" s="1613"/>
      <c r="O869" s="1613"/>
      <c r="P869" s="1613"/>
      <c r="Q869" s="1613"/>
      <c r="R869" s="1613"/>
      <c r="S869" s="1613"/>
      <c r="T869" s="1613"/>
      <c r="U869" s="1613"/>
      <c r="V869" s="1614"/>
      <c r="W869" s="1637">
        <v>47913</v>
      </c>
      <c r="X869" s="1638"/>
      <c r="Y869" s="1638"/>
      <c r="Z869" s="1638"/>
      <c r="AA869" s="1638"/>
      <c r="AB869" s="1638"/>
      <c r="AC869" s="1639"/>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24">
        <f>SUM(W865:W869)</f>
        <v>241148</v>
      </c>
      <c r="X870" s="1625"/>
      <c r="Y870" s="1625"/>
      <c r="Z870" s="1625"/>
      <c r="AA870" s="1625"/>
      <c r="AB870" s="1625"/>
      <c r="AC870" s="1626"/>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37">
        <v>94554</v>
      </c>
      <c r="X872" s="1638"/>
      <c r="Y872" s="1638"/>
      <c r="Z872" s="1638"/>
      <c r="AA872" s="1638"/>
      <c r="AB872" s="1638"/>
      <c r="AC872" s="1639"/>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620">
        <v>8378</v>
      </c>
      <c r="X874" s="1620"/>
      <c r="Y874" s="1620"/>
      <c r="Z874" s="1620"/>
      <c r="AA874" s="1620"/>
      <c r="AB874" s="1620"/>
      <c r="AC874" s="1620"/>
      <c r="AU874" s="14"/>
      <c r="AZ874" s="34"/>
      <c r="BA874" s="34"/>
      <c r="BB874" s="34"/>
      <c r="BC874" s="34"/>
    </row>
    <row r="875" spans="3:55" ht="12.95" customHeight="1">
      <c r="J875" s="45" t="s">
        <v>522</v>
      </c>
      <c r="K875" s="5"/>
      <c r="L875" s="5"/>
      <c r="M875" s="5"/>
      <c r="N875" s="5"/>
      <c r="O875" s="5"/>
      <c r="P875" s="5"/>
      <c r="Q875" s="5"/>
      <c r="R875" s="5"/>
      <c r="S875" s="5"/>
      <c r="T875" s="5"/>
      <c r="U875" s="5"/>
      <c r="V875" s="46"/>
      <c r="W875" s="1620">
        <v>24826</v>
      </c>
      <c r="X875" s="1620"/>
      <c r="Y875" s="1620"/>
      <c r="Z875" s="1620"/>
      <c r="AA875" s="1620"/>
      <c r="AB875" s="1620"/>
      <c r="AC875" s="1620"/>
      <c r="AU875" s="4"/>
      <c r="AZ875" s="34"/>
      <c r="BA875" s="34"/>
      <c r="BB875" s="34"/>
      <c r="BC875" s="34"/>
    </row>
    <row r="876" spans="3:55" ht="12.95" customHeight="1">
      <c r="J876" s="45" t="s">
        <v>521</v>
      </c>
      <c r="K876" s="5"/>
      <c r="L876" s="5"/>
      <c r="M876" s="5"/>
      <c r="N876" s="5"/>
      <c r="O876" s="5"/>
      <c r="P876" s="5"/>
      <c r="Q876" s="5"/>
      <c r="R876" s="5"/>
      <c r="S876" s="5"/>
      <c r="T876" s="5"/>
      <c r="U876" s="5"/>
      <c r="V876" s="46"/>
      <c r="W876" s="1620">
        <v>23589</v>
      </c>
      <c r="X876" s="1620"/>
      <c r="Y876" s="1620"/>
      <c r="Z876" s="1620"/>
      <c r="AA876" s="1620"/>
      <c r="AB876" s="1620"/>
      <c r="AC876" s="1620"/>
      <c r="AU876" s="4"/>
      <c r="AZ876" s="34"/>
      <c r="BA876" s="34"/>
      <c r="BB876" s="34"/>
      <c r="BC876" s="34"/>
    </row>
    <row r="877" spans="3:55" ht="12.95" customHeight="1">
      <c r="J877" s="45" t="s">
        <v>520</v>
      </c>
      <c r="K877" s="5"/>
      <c r="L877" s="5"/>
      <c r="M877" s="5"/>
      <c r="N877" s="5"/>
      <c r="O877" s="5"/>
      <c r="P877" s="5"/>
      <c r="Q877" s="5"/>
      <c r="R877" s="5"/>
      <c r="S877" s="5"/>
      <c r="T877" s="5"/>
      <c r="U877" s="5"/>
      <c r="V877" s="46"/>
      <c r="W877" s="1620">
        <v>10964</v>
      </c>
      <c r="X877" s="1620"/>
      <c r="Y877" s="1620"/>
      <c r="Z877" s="1620"/>
      <c r="AA877" s="1620"/>
      <c r="AB877" s="1620"/>
      <c r="AC877" s="1620"/>
      <c r="AU877" s="4"/>
      <c r="AZ877" s="34"/>
      <c r="BA877" s="34"/>
      <c r="BB877" s="34"/>
      <c r="BC877" s="34"/>
    </row>
    <row r="878" spans="3:55" ht="12.95" customHeight="1">
      <c r="J878" s="45" t="s">
        <v>519</v>
      </c>
      <c r="K878" s="5"/>
      <c r="L878" s="5"/>
      <c r="M878" s="5"/>
      <c r="N878" s="5"/>
      <c r="O878" s="5"/>
      <c r="P878" s="5"/>
      <c r="Q878" s="5"/>
      <c r="R878" s="5"/>
      <c r="S878" s="5"/>
      <c r="T878" s="5"/>
      <c r="U878" s="5"/>
      <c r="V878" s="46"/>
      <c r="W878" s="1620">
        <v>39855</v>
      </c>
      <c r="X878" s="1620"/>
      <c r="Y878" s="1620"/>
      <c r="Z878" s="1620"/>
      <c r="AA878" s="1620"/>
      <c r="AB878" s="1620"/>
      <c r="AC878" s="1620"/>
      <c r="AU878" s="4"/>
      <c r="AZ878" s="34"/>
      <c r="BA878" s="34"/>
      <c r="BB878" s="34"/>
      <c r="BC878" s="34"/>
    </row>
    <row r="879" spans="3:55" ht="12.95" customHeight="1">
      <c r="J879" s="45" t="s">
        <v>518</v>
      </c>
      <c r="K879" s="5"/>
      <c r="L879" s="5"/>
      <c r="M879" s="5"/>
      <c r="N879" s="5"/>
      <c r="O879" s="5"/>
      <c r="P879" s="5"/>
      <c r="Q879" s="5"/>
      <c r="R879" s="5"/>
      <c r="S879" s="5"/>
      <c r="T879" s="5"/>
      <c r="U879" s="5"/>
      <c r="V879" s="46"/>
      <c r="W879" s="1620">
        <f>4020+11354+7315</f>
        <v>22689</v>
      </c>
      <c r="X879" s="1620"/>
      <c r="Y879" s="1620"/>
      <c r="Z879" s="1620"/>
      <c r="AA879" s="1620"/>
      <c r="AB879" s="1620"/>
      <c r="AC879" s="1620"/>
      <c r="AU879" s="4"/>
      <c r="AZ879" s="34"/>
      <c r="BA879" s="34"/>
      <c r="BB879" s="34"/>
      <c r="BC879" s="34"/>
    </row>
    <row r="880" spans="3:55" ht="12.95" customHeight="1">
      <c r="J880" s="45" t="s">
        <v>170</v>
      </c>
      <c r="K880" s="5"/>
      <c r="L880" s="5"/>
      <c r="M880" s="1612" t="s">
        <v>2724</v>
      </c>
      <c r="N880" s="1613"/>
      <c r="O880" s="1613"/>
      <c r="P880" s="1613"/>
      <c r="Q880" s="1613"/>
      <c r="R880" s="1613"/>
      <c r="S880" s="1613"/>
      <c r="T880" s="1613"/>
      <c r="U880" s="1613"/>
      <c r="V880" s="1614"/>
      <c r="W880" s="1620">
        <v>28117</v>
      </c>
      <c r="X880" s="1620"/>
      <c r="Y880" s="1620"/>
      <c r="Z880" s="1620"/>
      <c r="AA880" s="1620"/>
      <c r="AB880" s="1620"/>
      <c r="AC880" s="1620"/>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57">
        <f>SUM(W874:W880)</f>
        <v>158418</v>
      </c>
      <c r="X881" s="1657"/>
      <c r="Y881" s="1657"/>
      <c r="Z881" s="1657"/>
      <c r="AA881" s="1657"/>
      <c r="AB881" s="1657"/>
      <c r="AC881" s="1657"/>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170</v>
      </c>
      <c r="K883" s="5"/>
      <c r="L883" s="5"/>
      <c r="M883" s="1612" t="s">
        <v>334</v>
      </c>
      <c r="N883" s="1613"/>
      <c r="O883" s="1613"/>
      <c r="P883" s="1613"/>
      <c r="Q883" s="1613"/>
      <c r="R883" s="1613"/>
      <c r="S883" s="1613"/>
      <c r="T883" s="1613"/>
      <c r="U883" s="1613"/>
      <c r="V883" s="1614"/>
      <c r="W883" s="1485"/>
      <c r="X883" s="1345"/>
      <c r="Y883" s="1345"/>
      <c r="Z883" s="1345"/>
      <c r="AA883" s="1345"/>
      <c r="AB883" s="1345"/>
      <c r="AC883" s="1346"/>
      <c r="AD883" s="533"/>
      <c r="AV883" s="14"/>
      <c r="AW883" s="14"/>
      <c r="AX883" s="14"/>
      <c r="AY883" s="14"/>
      <c r="AZ883" s="34"/>
      <c r="BA883" s="34"/>
      <c r="BB883" s="34"/>
      <c r="BC883" s="34"/>
    </row>
    <row r="884" spans="3:55" ht="12.95" customHeight="1">
      <c r="C884" s="2" t="s">
        <v>1243</v>
      </c>
      <c r="J884" s="45" t="s">
        <v>170</v>
      </c>
      <c r="K884" s="5"/>
      <c r="L884" s="5"/>
      <c r="M884" s="1612" t="s">
        <v>334</v>
      </c>
      <c r="N884" s="1613"/>
      <c r="O884" s="1613"/>
      <c r="P884" s="1613"/>
      <c r="Q884" s="1613"/>
      <c r="R884" s="1613"/>
      <c r="S884" s="1613"/>
      <c r="T884" s="1613"/>
      <c r="U884" s="1613"/>
      <c r="V884" s="1614"/>
      <c r="W884" s="1485"/>
      <c r="X884" s="1345"/>
      <c r="Y884" s="1345"/>
      <c r="Z884" s="1345"/>
      <c r="AA884" s="1345"/>
      <c r="AB884" s="1345"/>
      <c r="AC884" s="1346"/>
      <c r="AD884" s="533"/>
      <c r="AV884" s="14"/>
      <c r="AW884" s="14"/>
      <c r="AX884" s="14"/>
      <c r="AY884" s="14"/>
      <c r="AZ884" s="34"/>
      <c r="BA884" s="34"/>
      <c r="BB884" s="34"/>
      <c r="BC884" s="34"/>
    </row>
    <row r="885" spans="3:55" ht="12.95" customHeight="1">
      <c r="J885" s="45" t="s">
        <v>170</v>
      </c>
      <c r="K885" s="5"/>
      <c r="L885" s="5"/>
      <c r="M885" s="1612" t="s">
        <v>334</v>
      </c>
      <c r="N885" s="1613"/>
      <c r="O885" s="1613"/>
      <c r="P885" s="1613"/>
      <c r="Q885" s="1613"/>
      <c r="R885" s="1613"/>
      <c r="S885" s="1613"/>
      <c r="T885" s="1613"/>
      <c r="U885" s="1613"/>
      <c r="V885" s="1614"/>
      <c r="W885" s="1485"/>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12" t="s">
        <v>334</v>
      </c>
      <c r="N886" s="1613"/>
      <c r="O886" s="1613"/>
      <c r="P886" s="1613"/>
      <c r="Q886" s="1613"/>
      <c r="R886" s="1613"/>
      <c r="S886" s="1613"/>
      <c r="T886" s="1613"/>
      <c r="U886" s="1613"/>
      <c r="V886" s="1614"/>
      <c r="W886" s="1485"/>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12" t="s">
        <v>334</v>
      </c>
      <c r="N887" s="1613"/>
      <c r="O887" s="1613"/>
      <c r="P887" s="1613"/>
      <c r="Q887" s="1613"/>
      <c r="R887" s="1613"/>
      <c r="S887" s="1613"/>
      <c r="T887" s="1613"/>
      <c r="U887" s="1613"/>
      <c r="V887" s="1614"/>
      <c r="W887" s="1485"/>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82">
        <f>SUM(W883:W887)</f>
        <v>0</v>
      </c>
      <c r="X888" s="1483"/>
      <c r="Y888" s="1483"/>
      <c r="Z888" s="1483"/>
      <c r="AA888" s="1483"/>
      <c r="AB888" s="1483"/>
      <c r="AC888" s="1484"/>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83">
        <f>W855+W863+W870+W872+W881+W888+W857</f>
        <v>926100</v>
      </c>
      <c r="AD892" s="1483"/>
      <c r="AE892" s="1483"/>
      <c r="AF892" s="1483"/>
      <c r="AG892" s="1483"/>
      <c r="AH892" s="1484"/>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83">
        <f>O805+O785+G761</f>
        <v>147</v>
      </c>
      <c r="AD893" s="1683"/>
      <c r="AE893" s="1683"/>
      <c r="AF893" s="1683"/>
      <c r="AG893" s="1683"/>
      <c r="AH893" s="1684"/>
      <c r="AL893" s="4"/>
      <c r="AM893" s="4"/>
      <c r="AN893" s="4"/>
      <c r="AO893" s="4"/>
      <c r="AP893" s="4"/>
      <c r="AQ893" s="4"/>
      <c r="AR893" s="4"/>
      <c r="AS893" s="4"/>
      <c r="AT893" s="4"/>
      <c r="AZ893" s="34"/>
      <c r="BA893" s="34"/>
      <c r="BB893" s="34"/>
      <c r="BC893" s="34"/>
    </row>
    <row r="894" spans="3:55" ht="12.95" customHeight="1">
      <c r="C894" s="41"/>
      <c r="D894" s="42"/>
      <c r="E894" s="1651" t="s">
        <v>32</v>
      </c>
      <c r="F894" s="1651"/>
      <c r="G894" s="1651"/>
      <c r="H894" s="1651"/>
      <c r="I894" s="1651"/>
      <c r="J894" s="1651"/>
      <c r="K894" s="1651"/>
      <c r="L894" s="1651"/>
      <c r="M894" s="1651"/>
      <c r="N894" s="1651"/>
      <c r="O894" s="1651"/>
      <c r="P894" s="1651"/>
      <c r="Q894" s="1651"/>
      <c r="R894" s="1651"/>
      <c r="S894" s="1651"/>
      <c r="T894" s="1651"/>
      <c r="U894" s="1651"/>
      <c r="V894" s="1651"/>
      <c r="W894" s="1651"/>
      <c r="X894" s="1651"/>
      <c r="Y894" s="1651"/>
      <c r="Z894" s="1651"/>
      <c r="AA894" s="1651"/>
      <c r="AB894" s="1652"/>
      <c r="AC894" s="1657">
        <f>IF(ISERROR((ROUNDDOWN(AC892/AC893,0))),0,(ROUNDDOWN(AC892/AC893,0)))</f>
        <v>6300</v>
      </c>
      <c r="AD894" s="1657"/>
      <c r="AE894" s="1657"/>
      <c r="AF894" s="1657"/>
      <c r="AG894" s="1657"/>
      <c r="AH894" s="1657"/>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35">
        <f>'Sources and Uses Budget'!C75</f>
        <v>799247</v>
      </c>
      <c r="AD895" s="1636"/>
      <c r="AE895" s="1636"/>
      <c r="AF895" s="1636"/>
      <c r="AG895" s="1636"/>
      <c r="AH895" s="1636"/>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46"/>
      <c r="AD896" s="1620"/>
      <c r="AE896" s="1620"/>
      <c r="AF896" s="1620"/>
      <c r="AG896" s="1620"/>
      <c r="AH896" s="1620"/>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5">
        <v>27000</v>
      </c>
      <c r="AD897" s="1345"/>
      <c r="AE897" s="1345"/>
      <c r="AF897" s="1345"/>
      <c r="AG897" s="1345"/>
      <c r="AH897" s="134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44100</v>
      </c>
      <c r="AD898" s="1345"/>
      <c r="AE898" s="1345"/>
      <c r="AF898" s="1345"/>
      <c r="AG898" s="1345"/>
      <c r="AH898" s="134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602"/>
      <c r="AD899" s="1603"/>
      <c r="AE899" s="1603"/>
      <c r="AF899" s="1603"/>
      <c r="AG899" s="1603"/>
      <c r="AH899" s="1604"/>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c r="AD900" s="1345"/>
      <c r="AE900" s="1345"/>
      <c r="AF900" s="1345"/>
      <c r="AG900" s="1345"/>
      <c r="AH900" s="1346"/>
      <c r="AZ900" s="34"/>
      <c r="BA900" s="34"/>
      <c r="BB900" s="34"/>
      <c r="BC900" s="34"/>
    </row>
    <row r="901" spans="1:58" ht="12.95" hidden="1" customHeight="1">
      <c r="C901" s="1419" t="s">
        <v>2187</v>
      </c>
      <c r="D901" s="1420"/>
      <c r="E901" s="1420"/>
      <c r="F901" s="1420"/>
      <c r="G901" s="1420"/>
      <c r="H901" s="1420"/>
      <c r="I901" s="1420"/>
      <c r="J901" s="1420"/>
      <c r="K901" s="1420"/>
      <c r="L901" s="1420"/>
      <c r="M901" s="1420"/>
      <c r="N901" s="1420"/>
      <c r="O901" s="1420"/>
      <c r="P901" s="1420"/>
      <c r="Q901" s="1420"/>
      <c r="R901" s="1420"/>
      <c r="S901" s="1420"/>
      <c r="T901" s="1420"/>
      <c r="U901" s="1420"/>
      <c r="V901" s="1420"/>
      <c r="W901" s="1420"/>
      <c r="X901" s="1420"/>
      <c r="Y901" s="1420"/>
      <c r="Z901" s="1420"/>
      <c r="AA901" s="1420"/>
      <c r="AB901" s="1422"/>
      <c r="AC901" s="1345"/>
      <c r="AD901" s="1345"/>
      <c r="AE901" s="1345"/>
      <c r="AF901" s="1345"/>
      <c r="AG901" s="1345"/>
      <c r="AH901" s="134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45"/>
      <c r="AD902" s="1345"/>
      <c r="AE902" s="1345"/>
      <c r="AF902" s="1345"/>
      <c r="AG902" s="1345"/>
      <c r="AH902" s="1346"/>
      <c r="AZ902" s="34"/>
      <c r="BA902" s="34"/>
      <c r="BB902" s="34"/>
      <c r="BC902" s="34"/>
    </row>
    <row r="903" spans="1:58" ht="12.95" customHeight="1">
      <c r="C903" s="1701" t="s">
        <v>334</v>
      </c>
      <c r="D903" s="1702"/>
      <c r="E903" s="1702"/>
      <c r="F903" s="1702"/>
      <c r="G903" s="1702"/>
      <c r="H903" s="1702"/>
      <c r="I903" s="1702"/>
      <c r="J903" s="1702"/>
      <c r="K903" s="1702"/>
      <c r="L903" s="1702"/>
      <c r="M903" s="1702"/>
      <c r="N903" s="1702"/>
      <c r="O903" s="1702"/>
      <c r="P903" s="1702"/>
      <c r="Q903" s="1702"/>
      <c r="R903" s="1702"/>
      <c r="S903" s="1702"/>
      <c r="T903" s="1702"/>
      <c r="U903" s="1702"/>
      <c r="V903" s="1702"/>
      <c r="W903" s="1702"/>
      <c r="X903" s="1702"/>
      <c r="Y903" s="1702"/>
      <c r="Z903" s="1702"/>
      <c r="AA903" s="1702"/>
      <c r="AB903" s="1703"/>
      <c r="AC903" s="1620"/>
      <c r="AD903" s="1620"/>
      <c r="AE903" s="1620"/>
      <c r="AF903" s="1620"/>
      <c r="AG903" s="1620"/>
      <c r="AH903" s="1620"/>
      <c r="AZ903" s="34"/>
      <c r="BA903" s="34"/>
      <c r="BB903" s="34"/>
      <c r="BC903" s="34"/>
    </row>
    <row r="904" spans="1:58" ht="12.95" customHeight="1">
      <c r="C904" s="1701" t="s">
        <v>2725</v>
      </c>
      <c r="D904" s="1702"/>
      <c r="E904" s="1702"/>
      <c r="F904" s="1702"/>
      <c r="G904" s="1702"/>
      <c r="H904" s="1702"/>
      <c r="I904" s="1702"/>
      <c r="J904" s="1702"/>
      <c r="K904" s="1702"/>
      <c r="L904" s="1702"/>
      <c r="M904" s="1702"/>
      <c r="N904" s="1702"/>
      <c r="O904" s="1702"/>
      <c r="P904" s="1702"/>
      <c r="Q904" s="1702"/>
      <c r="R904" s="1702"/>
      <c r="S904" s="1702"/>
      <c r="T904" s="1702"/>
      <c r="U904" s="1702"/>
      <c r="V904" s="1702"/>
      <c r="W904" s="1702"/>
      <c r="X904" s="1702"/>
      <c r="Y904" s="1702"/>
      <c r="Z904" s="1702"/>
      <c r="AA904" s="1702"/>
      <c r="AB904" s="1703"/>
      <c r="AC904" s="1620">
        <v>7240</v>
      </c>
      <c r="AD904" s="1620"/>
      <c r="AE904" s="1620"/>
      <c r="AF904" s="1620"/>
      <c r="AG904" s="1620"/>
      <c r="AH904" s="1620"/>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85">
        <v>0</v>
      </c>
      <c r="AA908" s="1345"/>
      <c r="AB908" s="1345"/>
      <c r="AC908" s="1345"/>
      <c r="AD908" s="1345"/>
      <c r="AE908" s="1346"/>
      <c r="AF908" s="533"/>
      <c r="AZ908" s="34"/>
      <c r="BB908" s="30"/>
      <c r="BC908" s="812"/>
      <c r="BD908" s="1634"/>
      <c r="BE908" s="1634"/>
      <c r="BF908" s="14"/>
    </row>
    <row r="909" spans="1:58" ht="12.95" customHeight="1">
      <c r="H909" s="121" t="s">
        <v>239</v>
      </c>
      <c r="I909" s="5"/>
      <c r="J909" s="5"/>
      <c r="K909" s="5"/>
      <c r="L909" s="5"/>
      <c r="M909" s="5"/>
      <c r="N909" s="5"/>
      <c r="O909" s="5"/>
      <c r="P909" s="5"/>
      <c r="Q909" s="5"/>
      <c r="R909" s="5"/>
      <c r="S909" s="5"/>
      <c r="T909" s="5"/>
      <c r="U909" s="5"/>
      <c r="V909" s="5"/>
      <c r="W909" s="5"/>
      <c r="X909" s="5"/>
      <c r="Y909" s="5"/>
      <c r="Z909" s="1485">
        <v>0</v>
      </c>
      <c r="AA909" s="1345"/>
      <c r="AB909" s="1345"/>
      <c r="AC909" s="1345"/>
      <c r="AD909" s="1345"/>
      <c r="AE909" s="1346"/>
      <c r="AZ909" s="34"/>
      <c r="BB909" s="30"/>
      <c r="BC909" s="812"/>
      <c r="BD909" s="1634"/>
      <c r="BE909" s="1634"/>
      <c r="BF909" s="14"/>
    </row>
    <row r="910" spans="1:58" ht="12.95" customHeight="1">
      <c r="H910" s="121" t="s">
        <v>240</v>
      </c>
      <c r="I910" s="5"/>
      <c r="J910" s="5"/>
      <c r="K910" s="5"/>
      <c r="L910" s="5"/>
      <c r="M910" s="5"/>
      <c r="N910" s="5"/>
      <c r="O910" s="5"/>
      <c r="P910" s="5"/>
      <c r="Q910" s="5"/>
      <c r="R910" s="5"/>
      <c r="S910" s="5"/>
      <c r="T910" s="5"/>
      <c r="U910" s="5"/>
      <c r="V910" s="5"/>
      <c r="W910" s="5"/>
      <c r="X910" s="5"/>
      <c r="Y910" s="5"/>
      <c r="Z910" s="1485">
        <v>0</v>
      </c>
      <c r="AA910" s="1345"/>
      <c r="AB910" s="1345"/>
      <c r="AC910" s="1345"/>
      <c r="AD910" s="1345"/>
      <c r="AE910" s="1346"/>
      <c r="AZ910" s="34"/>
      <c r="BB910" s="30"/>
      <c r="BC910" s="812"/>
      <c r="BD910" s="1619"/>
      <c r="BE910" s="1619"/>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82">
        <f>Z908-(Z909+Z910)</f>
        <v>0</v>
      </c>
      <c r="AA911" s="1483"/>
      <c r="AB911" s="1483"/>
      <c r="AC911" s="1483"/>
      <c r="AD911" s="1483"/>
      <c r="AE911" s="1484"/>
      <c r="AZ911" s="34"/>
      <c r="BB911" s="30"/>
      <c r="BC911" s="812"/>
      <c r="BD911" s="1619"/>
      <c r="BE911" s="1619"/>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19"/>
      <c r="BE912" s="1619"/>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4"/>
      <c r="BE913" s="1619"/>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45"/>
      <c r="BE914" s="1645"/>
      <c r="BF914" s="1645"/>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44"/>
      <c r="BE915" s="1644"/>
      <c r="BF915" s="1644"/>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19"/>
      <c r="BE916" s="1619"/>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4"/>
      <c r="BE917" s="1619"/>
      <c r="BF917" s="14"/>
    </row>
    <row r="918" spans="1:58" ht="12.95" customHeight="1">
      <c r="AZ918" s="34"/>
      <c r="BB918" s="30"/>
      <c r="BC918" s="812"/>
    </row>
    <row r="919" spans="1:58" ht="12.95" customHeight="1">
      <c r="A919" s="1526" t="s">
        <v>96</v>
      </c>
      <c r="B919" s="1526"/>
      <c r="C919" s="1526"/>
      <c r="D919" s="1526"/>
      <c r="E919" s="1526"/>
      <c r="F919" s="1526"/>
      <c r="G919" s="1526"/>
      <c r="H919" s="1526"/>
      <c r="I919" s="1526"/>
      <c r="J919" s="1526"/>
      <c r="K919" s="1526"/>
      <c r="L919" s="1526"/>
      <c r="M919" s="1526"/>
      <c r="N919" s="1526"/>
      <c r="O919" s="1526"/>
      <c r="P919" s="1526"/>
      <c r="Q919" s="1526"/>
      <c r="R919" s="1526"/>
      <c r="S919" s="1526"/>
      <c r="T919" s="1526"/>
      <c r="U919" s="1526"/>
      <c r="V919" s="1526"/>
      <c r="W919" s="1526"/>
      <c r="X919" s="1526"/>
      <c r="Y919" s="1526"/>
      <c r="Z919" s="1526"/>
      <c r="AA919" s="1526"/>
      <c r="AB919" s="1526"/>
      <c r="AC919" s="1526"/>
      <c r="AD919" s="1526"/>
      <c r="AE919" s="1526"/>
      <c r="AF919" s="1526"/>
      <c r="AG919" s="1526"/>
      <c r="AH919" s="1526"/>
      <c r="AI919" s="1526"/>
      <c r="AJ919" s="1526"/>
      <c r="AK919" s="1526"/>
      <c r="AL919" s="1526"/>
      <c r="AM919" s="1526"/>
      <c r="AN919" s="1526"/>
      <c r="AO919" s="1526"/>
      <c r="AP919" s="1526"/>
      <c r="AQ919" s="1526"/>
      <c r="AR919" s="1526"/>
      <c r="AS919" s="1526"/>
      <c r="AT919" s="1526"/>
      <c r="AZ919" s="34"/>
      <c r="BA919" s="34"/>
      <c r="BB919" s="30"/>
      <c r="BC919" s="30"/>
      <c r="BD919" s="1634"/>
      <c r="BE919" s="1619"/>
      <c r="BF919" s="907"/>
    </row>
    <row r="920" spans="1:58" ht="12.95" customHeight="1">
      <c r="A920" s="1526"/>
      <c r="B920" s="1526"/>
      <c r="C920" s="1526"/>
      <c r="D920" s="1526"/>
      <c r="E920" s="1526"/>
      <c r="F920" s="1526"/>
      <c r="G920" s="1526"/>
      <c r="H920" s="1526"/>
      <c r="I920" s="1526"/>
      <c r="J920" s="1526"/>
      <c r="K920" s="1526"/>
      <c r="L920" s="1526"/>
      <c r="M920" s="1526"/>
      <c r="N920" s="1526"/>
      <c r="O920" s="1526"/>
      <c r="P920" s="1526"/>
      <c r="Q920" s="1526"/>
      <c r="R920" s="1526"/>
      <c r="S920" s="1526"/>
      <c r="T920" s="1526"/>
      <c r="U920" s="1526"/>
      <c r="V920" s="1526"/>
      <c r="W920" s="1526"/>
      <c r="X920" s="1526"/>
      <c r="Y920" s="1526"/>
      <c r="Z920" s="1526"/>
      <c r="AA920" s="1526"/>
      <c r="AB920" s="1526"/>
      <c r="AC920" s="1526"/>
      <c r="AD920" s="1526"/>
      <c r="AE920" s="1526"/>
      <c r="AF920" s="1526"/>
      <c r="AG920" s="1526"/>
      <c r="AH920" s="1526"/>
      <c r="AI920" s="1526"/>
      <c r="AJ920" s="1526"/>
      <c r="AK920" s="1526"/>
      <c r="AL920" s="1526"/>
      <c r="AM920" s="1526"/>
      <c r="AN920" s="1526"/>
      <c r="AO920" s="1526"/>
      <c r="AP920" s="1526"/>
      <c r="AQ920" s="1526"/>
      <c r="AR920" s="1526"/>
      <c r="AS920" s="1526"/>
      <c r="AT920" s="1526"/>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29" t="s">
        <v>792</v>
      </c>
      <c r="G924" s="1630"/>
      <c r="H924" s="1630"/>
      <c r="I924" s="1630"/>
      <c r="J924" s="1630"/>
      <c r="K924" s="1630"/>
      <c r="L924" s="1630"/>
      <c r="M924" s="1630"/>
      <c r="N924" s="1630"/>
      <c r="O924" s="1630"/>
      <c r="P924" s="1630"/>
      <c r="Q924" s="1630"/>
      <c r="R924" s="1630"/>
      <c r="S924" s="1630"/>
      <c r="T924" s="1631"/>
      <c r="U924" s="1763" t="s">
        <v>31</v>
      </c>
      <c r="V924" s="1704"/>
      <c r="W924" s="1704"/>
      <c r="X924" s="1704"/>
      <c r="Y924" s="1704"/>
      <c r="Z924" s="1704"/>
      <c r="AA924" s="43"/>
      <c r="AB924" s="105"/>
      <c r="AC924" s="105"/>
      <c r="AD924" s="105"/>
      <c r="AE924" s="105"/>
      <c r="AF924" s="106"/>
      <c r="AZ924" s="34"/>
      <c r="BA924" s="34"/>
      <c r="BB924" s="34"/>
      <c r="BC924" s="34"/>
    </row>
    <row r="925" spans="1:58" ht="12.95" customHeight="1">
      <c r="B925" s="2"/>
      <c r="F925" s="1764" t="s">
        <v>818</v>
      </c>
      <c r="G925" s="1765"/>
      <c r="H925" s="1765"/>
      <c r="I925" s="1765"/>
      <c r="J925" s="1765"/>
      <c r="K925" s="1765"/>
      <c r="L925" s="1765"/>
      <c r="M925" s="1765"/>
      <c r="N925" s="1765"/>
      <c r="O925" s="1765"/>
      <c r="P925" s="1765"/>
      <c r="Q925" s="1765"/>
      <c r="R925" s="1765"/>
      <c r="S925" s="1765"/>
      <c r="T925" s="1825"/>
      <c r="U925" s="1764"/>
      <c r="V925" s="1765"/>
      <c r="W925" s="1765"/>
      <c r="X925" s="1765"/>
      <c r="Y925" s="1765"/>
      <c r="Z925" s="1765"/>
      <c r="AA925" s="44"/>
      <c r="AB925" s="4"/>
      <c r="AC925" s="4"/>
      <c r="AD925" s="4"/>
      <c r="AE925" s="4"/>
      <c r="AF925" s="107"/>
      <c r="AZ925" s="34"/>
      <c r="BA925" s="34"/>
      <c r="BB925" s="34"/>
      <c r="BC925" s="34"/>
    </row>
    <row r="926" spans="1:58" ht="12.95" customHeight="1">
      <c r="B926" s="2"/>
      <c r="F926" s="1766"/>
      <c r="G926" s="1706"/>
      <c r="H926" s="1706"/>
      <c r="I926" s="1706"/>
      <c r="J926" s="1706"/>
      <c r="K926" s="1706"/>
      <c r="L926" s="1706"/>
      <c r="M926" s="1706"/>
      <c r="N926" s="1706"/>
      <c r="O926" s="1706"/>
      <c r="P926" s="1706"/>
      <c r="Q926" s="1706"/>
      <c r="R926" s="1706"/>
      <c r="S926" s="1706"/>
      <c r="T926" s="1707"/>
      <c r="U926" s="1766"/>
      <c r="V926" s="1706"/>
      <c r="W926" s="1706"/>
      <c r="X926" s="1706"/>
      <c r="Y926" s="1706"/>
      <c r="Z926" s="1706"/>
      <c r="AA926" s="108"/>
      <c r="AB926" s="1427" t="s">
        <v>391</v>
      </c>
      <c r="AC926" s="1427"/>
      <c r="AD926" s="1427"/>
      <c r="AE926" s="1427"/>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628" t="s">
        <v>545</v>
      </c>
      <c r="V927" s="1396"/>
      <c r="W927" s="1396"/>
      <c r="X927" s="1396"/>
      <c r="Y927" s="1396"/>
      <c r="Z927" s="1397"/>
      <c r="AA927" s="1632">
        <f>AM562</f>
        <v>14728320</v>
      </c>
      <c r="AB927" s="1516"/>
      <c r="AC927" s="1516"/>
      <c r="AD927" s="1516"/>
      <c r="AE927" s="1516"/>
      <c r="AF927" s="1633"/>
      <c r="AG927" s="1191" t="str">
        <f>IF(NOT(AA927=AW927),"!","")</f>
        <v/>
      </c>
      <c r="AH927" s="3"/>
      <c r="AW927" s="1416">
        <f>SUMIF($M$562:$M$573,"Loan, Tax-Exempt",$AM$562:$AM$573)</f>
        <v>14728320</v>
      </c>
      <c r="AX927" s="1416"/>
      <c r="AY927" s="1416"/>
      <c r="AZ927" s="3" t="s">
        <v>2539</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28" t="s">
        <v>545</v>
      </c>
      <c r="V928" s="1396"/>
      <c r="W928" s="1396"/>
      <c r="X928" s="1396"/>
      <c r="Y928" s="1396"/>
      <c r="Z928" s="1397"/>
      <c r="AA928" s="1632">
        <f>AM563</f>
        <v>22084391</v>
      </c>
      <c r="AB928" s="1516"/>
      <c r="AC928" s="1516"/>
      <c r="AD928" s="1516"/>
      <c r="AE928" s="1516"/>
      <c r="AF928" s="1633"/>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28" t="s">
        <v>591</v>
      </c>
      <c r="V929" s="1396"/>
      <c r="W929" s="1396"/>
      <c r="X929" s="1396"/>
      <c r="Y929" s="1396"/>
      <c r="Z929" s="1397"/>
      <c r="AA929" s="1632"/>
      <c r="AB929" s="1516"/>
      <c r="AC929" s="1516"/>
      <c r="AD929" s="1516"/>
      <c r="AE929" s="1516"/>
      <c r="AF929" s="1633"/>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28" t="s">
        <v>591</v>
      </c>
      <c r="V930" s="1396"/>
      <c r="W930" s="1396"/>
      <c r="X930" s="1396"/>
      <c r="Y930" s="1396"/>
      <c r="Z930" s="1397"/>
      <c r="AA930" s="1632"/>
      <c r="AB930" s="1516"/>
      <c r="AC930" s="1516"/>
      <c r="AD930" s="1516"/>
      <c r="AE930" s="1516"/>
      <c r="AF930" s="1633"/>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28" t="s">
        <v>591</v>
      </c>
      <c r="V931" s="1396"/>
      <c r="W931" s="1396"/>
      <c r="X931" s="1396"/>
      <c r="Y931" s="1396"/>
      <c r="Z931" s="1397"/>
      <c r="AA931" s="1632"/>
      <c r="AB931" s="1516"/>
      <c r="AC931" s="1516"/>
      <c r="AD931" s="1516"/>
      <c r="AE931" s="1516"/>
      <c r="AF931" s="1633"/>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28" t="s">
        <v>591</v>
      </c>
      <c r="V932" s="1396"/>
      <c r="W932" s="1396"/>
      <c r="X932" s="1396"/>
      <c r="Y932" s="1396"/>
      <c r="Z932" s="1397"/>
      <c r="AA932" s="1632"/>
      <c r="AB932" s="1516"/>
      <c r="AC932" s="1516"/>
      <c r="AD932" s="1516"/>
      <c r="AE932" s="1516"/>
      <c r="AF932" s="1633"/>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28" t="s">
        <v>591</v>
      </c>
      <c r="V933" s="1396"/>
      <c r="W933" s="1396"/>
      <c r="X933" s="1396"/>
      <c r="Y933" s="1396"/>
      <c r="Z933" s="1397"/>
      <c r="AA933" s="1632"/>
      <c r="AB933" s="1516"/>
      <c r="AC933" s="1516"/>
      <c r="AD933" s="1516"/>
      <c r="AE933" s="1516"/>
      <c r="AF933" s="1633"/>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28" t="s">
        <v>591</v>
      </c>
      <c r="V934" s="1396"/>
      <c r="W934" s="1396"/>
      <c r="X934" s="1396"/>
      <c r="Y934" s="1396"/>
      <c r="Z934" s="1397"/>
      <c r="AA934" s="1632"/>
      <c r="AB934" s="1516"/>
      <c r="AC934" s="1516"/>
      <c r="AD934" s="1516"/>
      <c r="AE934" s="1516"/>
      <c r="AF934" s="1633"/>
      <c r="AZ934" s="34"/>
      <c r="BA934" s="34"/>
      <c r="BB934" s="34"/>
      <c r="BC934" s="34"/>
    </row>
    <row r="935" spans="6:55" ht="12.95" customHeight="1">
      <c r="F935" s="1691" t="s">
        <v>2147</v>
      </c>
      <c r="G935" s="1692"/>
      <c r="H935" s="1692"/>
      <c r="I935" s="1692"/>
      <c r="J935" s="1692"/>
      <c r="K935" s="1692"/>
      <c r="L935" s="1692"/>
      <c r="M935" s="1692"/>
      <c r="N935" s="1692"/>
      <c r="O935" s="1692"/>
      <c r="P935" s="1692"/>
      <c r="Q935" s="1692"/>
      <c r="R935" s="1692"/>
      <c r="S935" s="1692"/>
      <c r="T935" s="1693"/>
      <c r="U935" s="1628" t="s">
        <v>591</v>
      </c>
      <c r="V935" s="1396"/>
      <c r="W935" s="1396"/>
      <c r="X935" s="1396"/>
      <c r="Y935" s="1396"/>
      <c r="Z935" s="1397"/>
      <c r="AA935" s="1632"/>
      <c r="AB935" s="1516"/>
      <c r="AC935" s="1516"/>
      <c r="AD935" s="1516"/>
      <c r="AE935" s="1516"/>
      <c r="AF935" s="1633"/>
      <c r="AZ935" s="34"/>
      <c r="BA935" s="34"/>
      <c r="BB935" s="34"/>
      <c r="BC935" s="34"/>
    </row>
    <row r="936" spans="6:55" ht="12.95" customHeight="1">
      <c r="F936" s="1691" t="s">
        <v>679</v>
      </c>
      <c r="G936" s="1692"/>
      <c r="H936" s="1692"/>
      <c r="I936" s="1692"/>
      <c r="J936" s="1692"/>
      <c r="K936" s="1692"/>
      <c r="L936" s="1692"/>
      <c r="M936" s="1692"/>
      <c r="N936" s="1692"/>
      <c r="O936" s="1692"/>
      <c r="P936" s="1692"/>
      <c r="Q936" s="1692"/>
      <c r="R936" s="1692"/>
      <c r="S936" s="1692"/>
      <c r="T936" s="1693"/>
      <c r="U936" s="1628" t="s">
        <v>591</v>
      </c>
      <c r="V936" s="1396"/>
      <c r="W936" s="1396"/>
      <c r="X936" s="1396"/>
      <c r="Y936" s="1396"/>
      <c r="Z936" s="1397"/>
      <c r="AA936" s="1632"/>
      <c r="AB936" s="1516"/>
      <c r="AC936" s="1516"/>
      <c r="AD936" s="1516"/>
      <c r="AE936" s="1516"/>
      <c r="AF936" s="1633"/>
      <c r="AU936" s="2"/>
      <c r="AZ936" s="34"/>
      <c r="BA936" s="34"/>
      <c r="BB936" s="34"/>
      <c r="BC936" s="34"/>
    </row>
    <row r="937" spans="6:55" ht="12.95" customHeight="1">
      <c r="F937" s="1691" t="s">
        <v>2148</v>
      </c>
      <c r="G937" s="1692"/>
      <c r="H937" s="1692"/>
      <c r="I937" s="1692"/>
      <c r="J937" s="1692"/>
      <c r="K937" s="1692"/>
      <c r="L937" s="1692"/>
      <c r="M937" s="1692"/>
      <c r="N937" s="1692"/>
      <c r="O937" s="1692"/>
      <c r="P937" s="1692"/>
      <c r="Q937" s="1692"/>
      <c r="R937" s="1692"/>
      <c r="S937" s="1692"/>
      <c r="T937" s="1693"/>
      <c r="U937" s="1628" t="s">
        <v>591</v>
      </c>
      <c r="V937" s="1396"/>
      <c r="W937" s="1396"/>
      <c r="X937" s="1396"/>
      <c r="Y937" s="1396"/>
      <c r="Z937" s="1397"/>
      <c r="AA937" s="1632"/>
      <c r="AB937" s="1516"/>
      <c r="AC937" s="1516"/>
      <c r="AD937" s="1516"/>
      <c r="AE937" s="1516"/>
      <c r="AF937" s="1633"/>
      <c r="AU937" s="2"/>
      <c r="AZ937" s="34"/>
      <c r="BA937" s="34"/>
      <c r="BB937" s="34"/>
      <c r="BC937" s="34"/>
    </row>
    <row r="938" spans="6:55" ht="12.95" customHeight="1">
      <c r="F938" s="1691" t="s">
        <v>2149</v>
      </c>
      <c r="G938" s="1692"/>
      <c r="H938" s="1692"/>
      <c r="I938" s="1692"/>
      <c r="J938" s="1692"/>
      <c r="K938" s="1692"/>
      <c r="L938" s="1692"/>
      <c r="M938" s="1692"/>
      <c r="N938" s="1692"/>
      <c r="O938" s="1692"/>
      <c r="P938" s="1692"/>
      <c r="Q938" s="1692"/>
      <c r="R938" s="1692"/>
      <c r="S938" s="1692"/>
      <c r="T938" s="1693"/>
      <c r="U938" s="1628" t="s">
        <v>591</v>
      </c>
      <c r="V938" s="1396"/>
      <c r="W938" s="1396"/>
      <c r="X938" s="1396"/>
      <c r="Y938" s="1396"/>
      <c r="Z938" s="1397"/>
      <c r="AA938" s="1632"/>
      <c r="AB938" s="1516"/>
      <c r="AC938" s="1516"/>
      <c r="AD938" s="1516"/>
      <c r="AE938" s="1516"/>
      <c r="AF938" s="1633"/>
      <c r="AU938" s="2"/>
      <c r="AZ938" s="34"/>
      <c r="BA938" s="34"/>
      <c r="BB938" s="34"/>
      <c r="BC938" s="34"/>
    </row>
    <row r="939" spans="6:55" ht="12.95" customHeight="1">
      <c r="F939" s="1691" t="s">
        <v>2150</v>
      </c>
      <c r="G939" s="1692"/>
      <c r="H939" s="1692"/>
      <c r="I939" s="1692"/>
      <c r="J939" s="1692"/>
      <c r="K939" s="1692"/>
      <c r="L939" s="1692"/>
      <c r="M939" s="1692"/>
      <c r="N939" s="1692"/>
      <c r="O939" s="1692"/>
      <c r="P939" s="1692"/>
      <c r="Q939" s="1692"/>
      <c r="R939" s="1692"/>
      <c r="S939" s="1692"/>
      <c r="T939" s="1693"/>
      <c r="U939" s="1628" t="s">
        <v>591</v>
      </c>
      <c r="V939" s="1396"/>
      <c r="W939" s="1396"/>
      <c r="X939" s="1396"/>
      <c r="Y939" s="1396"/>
      <c r="Z939" s="1397"/>
      <c r="AA939" s="1632"/>
      <c r="AB939" s="1516"/>
      <c r="AC939" s="1516"/>
      <c r="AD939" s="1516"/>
      <c r="AE939" s="1516"/>
      <c r="AF939" s="1633"/>
      <c r="AU939" s="2"/>
      <c r="AZ939" s="34"/>
      <c r="BA939" s="34"/>
      <c r="BB939" s="34"/>
      <c r="BC939" s="34"/>
    </row>
    <row r="940" spans="6:55" ht="12.95" customHeight="1">
      <c r="F940" s="1691" t="s">
        <v>2151</v>
      </c>
      <c r="G940" s="1692"/>
      <c r="H940" s="1692"/>
      <c r="I940" s="1692"/>
      <c r="J940" s="1692"/>
      <c r="K940" s="1692"/>
      <c r="L940" s="1692"/>
      <c r="M940" s="1692"/>
      <c r="N940" s="1692"/>
      <c r="O940" s="1692"/>
      <c r="P940" s="1692"/>
      <c r="Q940" s="1692"/>
      <c r="R940" s="1692"/>
      <c r="S940" s="1692"/>
      <c r="T940" s="1693"/>
      <c r="U940" s="1628" t="s">
        <v>591</v>
      </c>
      <c r="V940" s="1396"/>
      <c r="W940" s="1396"/>
      <c r="X940" s="1396"/>
      <c r="Y940" s="1396"/>
      <c r="Z940" s="1397"/>
      <c r="AA940" s="1632"/>
      <c r="AB940" s="1516"/>
      <c r="AC940" s="1516"/>
      <c r="AD940" s="1516"/>
      <c r="AE940" s="1516"/>
      <c r="AF940" s="1633"/>
      <c r="AU940" s="2"/>
      <c r="AZ940" s="34"/>
      <c r="BA940" s="34"/>
      <c r="BB940" s="34"/>
      <c r="BC940" s="34"/>
    </row>
    <row r="941" spans="6:55" ht="12.95" customHeight="1">
      <c r="F941" s="1691" t="s">
        <v>2152</v>
      </c>
      <c r="G941" s="1692"/>
      <c r="H941" s="1692"/>
      <c r="I941" s="1692"/>
      <c r="J941" s="1692"/>
      <c r="K941" s="1692"/>
      <c r="L941" s="1692"/>
      <c r="M941" s="1692"/>
      <c r="N941" s="1692"/>
      <c r="O941" s="1692"/>
      <c r="P941" s="1692"/>
      <c r="Q941" s="1692"/>
      <c r="R941" s="1692"/>
      <c r="S941" s="1692"/>
      <c r="T941" s="1693"/>
      <c r="U941" s="1628" t="s">
        <v>591</v>
      </c>
      <c r="V941" s="1396"/>
      <c r="W941" s="1396"/>
      <c r="X941" s="1396"/>
      <c r="Y941" s="1396"/>
      <c r="Z941" s="1397"/>
      <c r="AA941" s="1632"/>
      <c r="AB941" s="1516"/>
      <c r="AC941" s="1516"/>
      <c r="AD941" s="1516"/>
      <c r="AE941" s="1516"/>
      <c r="AF941" s="1633"/>
      <c r="AZ941" s="30"/>
      <c r="BA941" s="30"/>
    </row>
    <row r="942" spans="6:55" ht="12.95" customHeight="1">
      <c r="F942" s="178" t="s">
        <v>676</v>
      </c>
      <c r="G942" s="5"/>
      <c r="H942" s="5"/>
      <c r="I942" s="5"/>
      <c r="J942" s="5"/>
      <c r="K942" s="5"/>
      <c r="L942" s="5"/>
      <c r="M942" s="5"/>
      <c r="N942" s="5"/>
      <c r="O942" s="5"/>
      <c r="P942" s="5"/>
      <c r="Q942" s="5"/>
      <c r="R942" s="5"/>
      <c r="S942" s="5"/>
      <c r="T942" s="46"/>
      <c r="U942" s="1628" t="s">
        <v>591</v>
      </c>
      <c r="V942" s="1396"/>
      <c r="W942" s="1396"/>
      <c r="X942" s="1396"/>
      <c r="Y942" s="1396"/>
      <c r="Z942" s="1397"/>
      <c r="AA942" s="1632"/>
      <c r="AB942" s="1516"/>
      <c r="AC942" s="1516"/>
      <c r="AD942" s="1516"/>
      <c r="AE942" s="1516"/>
      <c r="AF942" s="1633"/>
    </row>
    <row r="943" spans="6:55" ht="12.95" customHeight="1">
      <c r="F943" s="121" t="s">
        <v>1276</v>
      </c>
      <c r="G943" s="5"/>
      <c r="H943" s="5"/>
      <c r="I943" s="5"/>
      <c r="J943" s="5"/>
      <c r="K943" s="5"/>
      <c r="L943" s="5"/>
      <c r="M943" s="5"/>
      <c r="N943" s="5"/>
      <c r="O943" s="5"/>
      <c r="P943" s="5"/>
      <c r="Q943" s="5"/>
      <c r="R943" s="5"/>
      <c r="S943" s="5"/>
      <c r="T943" s="46"/>
      <c r="U943" s="1628" t="s">
        <v>591</v>
      </c>
      <c r="V943" s="1396"/>
      <c r="W943" s="1396"/>
      <c r="X943" s="1396"/>
      <c r="Y943" s="1396"/>
      <c r="Z943" s="1397"/>
      <c r="AA943" s="1632"/>
      <c r="AB943" s="1516"/>
      <c r="AC943" s="1516"/>
      <c r="AD943" s="1516"/>
      <c r="AE943" s="1516"/>
      <c r="AF943" s="1633"/>
      <c r="AZ943" s="30"/>
      <c r="BA943" s="14"/>
    </row>
    <row r="944" spans="6:55" ht="12.95" customHeight="1">
      <c r="F944" s="66" t="s">
        <v>802</v>
      </c>
      <c r="G944" s="5"/>
      <c r="H944" s="5"/>
      <c r="I944" s="5"/>
      <c r="J944" s="5"/>
      <c r="K944" s="5"/>
      <c r="L944" s="5"/>
      <c r="M944" s="5"/>
      <c r="N944" s="5"/>
      <c r="O944" s="5"/>
      <c r="P944" s="5"/>
      <c r="Q944" s="5"/>
      <c r="R944" s="5"/>
      <c r="S944" s="5"/>
      <c r="T944" s="46"/>
      <c r="U944" s="1628" t="s">
        <v>591</v>
      </c>
      <c r="V944" s="1396"/>
      <c r="W944" s="1396"/>
      <c r="X944" s="1396"/>
      <c r="Y944" s="1396"/>
      <c r="Z944" s="1397"/>
      <c r="AA944" s="1632"/>
      <c r="AB944" s="1516"/>
      <c r="AC944" s="1516"/>
      <c r="AD944" s="1516"/>
      <c r="AE944" s="1516"/>
      <c r="AF944" s="1633"/>
      <c r="AZ944" s="30"/>
      <c r="BA944" s="14"/>
    </row>
    <row r="945" spans="6:55" ht="12.95" customHeight="1">
      <c r="F945" s="1648" t="s">
        <v>2156</v>
      </c>
      <c r="G945" s="1649"/>
      <c r="H945" s="1649"/>
      <c r="I945" s="1649"/>
      <c r="J945" s="1649"/>
      <c r="K945" s="1649"/>
      <c r="L945" s="1649"/>
      <c r="M945" s="1649"/>
      <c r="N945" s="1649"/>
      <c r="O945" s="1649"/>
      <c r="P945" s="1649"/>
      <c r="Q945" s="1649"/>
      <c r="R945" s="1649"/>
      <c r="S945" s="1649"/>
      <c r="T945" s="1650"/>
      <c r="U945" s="1628" t="s">
        <v>591</v>
      </c>
      <c r="V945" s="1396"/>
      <c r="W945" s="1396"/>
      <c r="X945" s="1396"/>
      <c r="Y945" s="1396"/>
      <c r="Z945" s="1397"/>
      <c r="AA945" s="1632"/>
      <c r="AB945" s="1516"/>
      <c r="AC945" s="1516"/>
      <c r="AD945" s="1516"/>
      <c r="AE945" s="1516"/>
      <c r="AF945" s="1633"/>
      <c r="AZ945" s="30"/>
      <c r="BA945" s="14"/>
    </row>
    <row r="946" spans="6:55" ht="12.95" customHeight="1">
      <c r="F946" s="1648" t="s">
        <v>2157</v>
      </c>
      <c r="G946" s="1649"/>
      <c r="H946" s="1649"/>
      <c r="I946" s="1649"/>
      <c r="J946" s="1649"/>
      <c r="K946" s="1649"/>
      <c r="L946" s="1649"/>
      <c r="M946" s="1649"/>
      <c r="N946" s="1649"/>
      <c r="O946" s="1649"/>
      <c r="P946" s="1649"/>
      <c r="Q946" s="1649"/>
      <c r="R946" s="1649"/>
      <c r="S946" s="1649"/>
      <c r="T946" s="1650"/>
      <c r="U946" s="1628" t="s">
        <v>591</v>
      </c>
      <c r="V946" s="1396"/>
      <c r="W946" s="1396"/>
      <c r="X946" s="1396"/>
      <c r="Y946" s="1396"/>
      <c r="Z946" s="1397"/>
      <c r="AA946" s="1632"/>
      <c r="AB946" s="1516"/>
      <c r="AC946" s="1516"/>
      <c r="AD946" s="1516"/>
      <c r="AE946" s="1516"/>
      <c r="AF946" s="1633"/>
      <c r="AZ946" s="30"/>
      <c r="BA946" s="30"/>
    </row>
    <row r="947" spans="6:55" ht="12.95" customHeight="1">
      <c r="F947" s="1691" t="s">
        <v>2153</v>
      </c>
      <c r="G947" s="1692"/>
      <c r="H947" s="1692"/>
      <c r="I947" s="1692"/>
      <c r="J947" s="1692"/>
      <c r="K947" s="1692"/>
      <c r="L947" s="1692"/>
      <c r="M947" s="1692"/>
      <c r="N947" s="1692"/>
      <c r="O947" s="1692"/>
      <c r="P947" s="1692"/>
      <c r="Q947" s="1692"/>
      <c r="R947" s="1692"/>
      <c r="S947" s="1692"/>
      <c r="T947" s="1693"/>
      <c r="U947" s="1628" t="s">
        <v>591</v>
      </c>
      <c r="V947" s="1396"/>
      <c r="W947" s="1396"/>
      <c r="X947" s="1396"/>
      <c r="Y947" s="1396"/>
      <c r="Z947" s="1397"/>
      <c r="AA947" s="1632"/>
      <c r="AB947" s="1516"/>
      <c r="AC947" s="1516"/>
      <c r="AD947" s="1516"/>
      <c r="AE947" s="1516"/>
      <c r="AF947" s="1633"/>
      <c r="AZ947" s="30"/>
      <c r="BA947" s="30"/>
    </row>
    <row r="948" spans="6:55" ht="12.95" customHeight="1">
      <c r="F948" s="1691" t="s">
        <v>2154</v>
      </c>
      <c r="G948" s="1692"/>
      <c r="H948" s="1692"/>
      <c r="I948" s="1692"/>
      <c r="J948" s="1692"/>
      <c r="K948" s="1692"/>
      <c r="L948" s="1692"/>
      <c r="M948" s="1692"/>
      <c r="N948" s="1692"/>
      <c r="O948" s="1692"/>
      <c r="P948" s="1692"/>
      <c r="Q948" s="1692"/>
      <c r="R948" s="1692"/>
      <c r="S948" s="1692"/>
      <c r="T948" s="1693"/>
      <c r="U948" s="1628" t="s">
        <v>591</v>
      </c>
      <c r="V948" s="1396"/>
      <c r="W948" s="1396"/>
      <c r="X948" s="1396"/>
      <c r="Y948" s="1396"/>
      <c r="Z948" s="1397"/>
      <c r="AA948" s="1632"/>
      <c r="AB948" s="1516"/>
      <c r="AC948" s="1516"/>
      <c r="AD948" s="1516"/>
      <c r="AE948" s="1516"/>
      <c r="AF948" s="1633"/>
      <c r="AZ948" s="30"/>
      <c r="BA948" s="30"/>
    </row>
    <row r="949" spans="6:55" ht="12.95" customHeight="1">
      <c r="F949" s="1691" t="s">
        <v>2155</v>
      </c>
      <c r="G949" s="1692"/>
      <c r="H949" s="1692"/>
      <c r="I949" s="1692"/>
      <c r="J949" s="1692"/>
      <c r="K949" s="1692"/>
      <c r="L949" s="1692"/>
      <c r="M949" s="1692"/>
      <c r="N949" s="1692"/>
      <c r="O949" s="1692"/>
      <c r="P949" s="1692"/>
      <c r="Q949" s="1692"/>
      <c r="R949" s="1692"/>
      <c r="S949" s="1692"/>
      <c r="T949" s="1693"/>
      <c r="U949" s="1628" t="s">
        <v>591</v>
      </c>
      <c r="V949" s="1396"/>
      <c r="W949" s="1396"/>
      <c r="X949" s="1396"/>
      <c r="Y949" s="1396"/>
      <c r="Z949" s="1397"/>
      <c r="AA949" s="1632"/>
      <c r="AB949" s="1516"/>
      <c r="AC949" s="1516"/>
      <c r="AD949" s="1516"/>
      <c r="AE949" s="1516"/>
      <c r="AF949" s="1633"/>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628" t="s">
        <v>591</v>
      </c>
      <c r="V950" s="1396"/>
      <c r="W950" s="1396"/>
      <c r="X950" s="1396"/>
      <c r="Y950" s="1396"/>
      <c r="Z950" s="1397"/>
      <c r="AA950" s="1632"/>
      <c r="AB950" s="1516"/>
      <c r="AC950" s="1516"/>
      <c r="AD950" s="1516"/>
      <c r="AE950" s="1516"/>
      <c r="AF950" s="1633"/>
      <c r="AZ950" s="34"/>
      <c r="BA950" s="34"/>
      <c r="BB950" s="14"/>
      <c r="BC950" s="14"/>
    </row>
    <row r="951" spans="6:55" ht="12.95" customHeight="1">
      <c r="F951" s="1648" t="s">
        <v>2158</v>
      </c>
      <c r="G951" s="1649"/>
      <c r="H951" s="1649"/>
      <c r="I951" s="1649"/>
      <c r="J951" s="1649"/>
      <c r="K951" s="1649"/>
      <c r="L951" s="1649"/>
      <c r="M951" s="1649"/>
      <c r="N951" s="1649"/>
      <c r="O951" s="1649"/>
      <c r="P951" s="1649"/>
      <c r="Q951" s="1649"/>
      <c r="R951" s="1649"/>
      <c r="S951" s="1649"/>
      <c r="T951" s="1650"/>
      <c r="U951" s="1628" t="s">
        <v>591</v>
      </c>
      <c r="V951" s="1396"/>
      <c r="W951" s="1396"/>
      <c r="X951" s="1396"/>
      <c r="Y951" s="1396"/>
      <c r="Z951" s="1397"/>
      <c r="AA951" s="1632"/>
      <c r="AB951" s="1516"/>
      <c r="AC951" s="1516"/>
      <c r="AD951" s="1516"/>
      <c r="AE951" s="1516"/>
      <c r="AF951" s="1633"/>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628" t="s">
        <v>591</v>
      </c>
      <c r="V952" s="1396"/>
      <c r="W952" s="1396"/>
      <c r="X952" s="1396"/>
      <c r="Y952" s="1396"/>
      <c r="Z952" s="1397"/>
      <c r="AA952" s="1632"/>
      <c r="AB952" s="1516"/>
      <c r="AC952" s="1516"/>
      <c r="AD952" s="1516"/>
      <c r="AE952" s="1516"/>
      <c r="AF952" s="1633"/>
      <c r="AZ952" s="34"/>
      <c r="BA952" s="34"/>
      <c r="BB952" s="34"/>
      <c r="BC952" s="34"/>
    </row>
    <row r="953" spans="6:55" ht="12.95" customHeight="1">
      <c r="F953" s="1648" t="s">
        <v>2159</v>
      </c>
      <c r="G953" s="1649"/>
      <c r="H953" s="1649"/>
      <c r="I953" s="1649"/>
      <c r="J953" s="1649"/>
      <c r="K953" s="1649"/>
      <c r="L953" s="1649"/>
      <c r="M953" s="1649"/>
      <c r="N953" s="1649"/>
      <c r="O953" s="1649"/>
      <c r="P953" s="1649"/>
      <c r="Q953" s="1649"/>
      <c r="R953" s="1649"/>
      <c r="S953" s="1649"/>
      <c r="T953" s="1650"/>
      <c r="U953" s="1628" t="s">
        <v>591</v>
      </c>
      <c r="V953" s="1396"/>
      <c r="W953" s="1396"/>
      <c r="X953" s="1396"/>
      <c r="Y953" s="1396"/>
      <c r="Z953" s="1397"/>
      <c r="AA953" s="1632"/>
      <c r="AB953" s="1516"/>
      <c r="AC953" s="1516"/>
      <c r="AD953" s="1516"/>
      <c r="AE953" s="1516"/>
      <c r="AF953" s="1633"/>
      <c r="AZ953" s="34"/>
      <c r="BA953" s="34"/>
      <c r="BB953" s="34"/>
      <c r="BC953" s="34"/>
    </row>
    <row r="954" spans="6:55" ht="12.95" customHeight="1">
      <c r="F954" s="45" t="s">
        <v>806</v>
      </c>
      <c r="G954" s="5"/>
      <c r="H954" s="5"/>
      <c r="I954" s="5"/>
      <c r="J954" s="5"/>
      <c r="K954" s="5"/>
      <c r="L954" s="5"/>
      <c r="M954" s="5"/>
      <c r="N954" s="5"/>
      <c r="O954" s="5"/>
      <c r="P954" s="1628" t="s">
        <v>669</v>
      </c>
      <c r="Q954" s="1396"/>
      <c r="R954" s="1396"/>
      <c r="S954" s="1396"/>
      <c r="T954" s="1397"/>
      <c r="U954" s="1628" t="s">
        <v>591</v>
      </c>
      <c r="V954" s="1396"/>
      <c r="W954" s="1396"/>
      <c r="X954" s="1396"/>
      <c r="Y954" s="1396"/>
      <c r="Z954" s="1397"/>
      <c r="AA954" s="1632"/>
      <c r="AB954" s="1516"/>
      <c r="AC954" s="1516"/>
      <c r="AD954" s="1516"/>
      <c r="AE954" s="1516"/>
      <c r="AF954" s="1633"/>
      <c r="AZ954" s="34"/>
      <c r="BA954" s="34"/>
      <c r="BB954" s="34"/>
      <c r="BC954" s="34"/>
    </row>
    <row r="955" spans="6:55" ht="12.95" customHeight="1">
      <c r="F955" s="1691" t="s">
        <v>2146</v>
      </c>
      <c r="G955" s="1692"/>
      <c r="H955" s="1693"/>
      <c r="I955" s="1612" t="s">
        <v>334</v>
      </c>
      <c r="J955" s="1613"/>
      <c r="K955" s="1613"/>
      <c r="L955" s="1613"/>
      <c r="M955" s="1613"/>
      <c r="N955" s="1613"/>
      <c r="O955" s="1613"/>
      <c r="P955" s="1613"/>
      <c r="Q955" s="1613"/>
      <c r="R955" s="1613"/>
      <c r="S955" s="1613"/>
      <c r="T955" s="1614"/>
      <c r="U955" s="1628" t="s">
        <v>591</v>
      </c>
      <c r="V955" s="1396"/>
      <c r="W955" s="1396"/>
      <c r="X955" s="1396"/>
      <c r="Y955" s="1396"/>
      <c r="Z955" s="1397"/>
      <c r="AA955" s="1632"/>
      <c r="AB955" s="1516"/>
      <c r="AC955" s="1516"/>
      <c r="AD955" s="1516"/>
      <c r="AE955" s="1516"/>
      <c r="AF955" s="1633"/>
      <c r="AZ955" s="34"/>
      <c r="BA955" s="34"/>
      <c r="BB955" s="34"/>
      <c r="BC955" s="34"/>
    </row>
    <row r="956" spans="6:55" ht="12.95" customHeight="1">
      <c r="F956" s="45" t="s">
        <v>86</v>
      </c>
      <c r="G956" s="48"/>
      <c r="H956" s="48"/>
      <c r="I956" s="1612" t="s">
        <v>334</v>
      </c>
      <c r="J956" s="1613"/>
      <c r="K956" s="1613"/>
      <c r="L956" s="1613"/>
      <c r="M956" s="1613"/>
      <c r="N956" s="1613"/>
      <c r="O956" s="1613"/>
      <c r="P956" s="1613"/>
      <c r="Q956" s="1613"/>
      <c r="R956" s="1613"/>
      <c r="S956" s="1613"/>
      <c r="T956" s="1614"/>
      <c r="U956" s="1628" t="s">
        <v>591</v>
      </c>
      <c r="V956" s="1396"/>
      <c r="W956" s="1396"/>
      <c r="X956" s="1396"/>
      <c r="Y956" s="1396"/>
      <c r="Z956" s="1397"/>
      <c r="AA956" s="1632"/>
      <c r="AB956" s="1516"/>
      <c r="AC956" s="1516"/>
      <c r="AD956" s="1516"/>
      <c r="AE956" s="1516"/>
      <c r="AF956" s="1633"/>
      <c r="AZ956" s="34"/>
      <c r="BA956" s="34"/>
      <c r="BB956" s="34"/>
      <c r="BC956" s="34"/>
    </row>
    <row r="957" spans="6:55" ht="12.95" customHeight="1">
      <c r="F957" s="45" t="s">
        <v>10</v>
      </c>
      <c r="G957" s="48"/>
      <c r="H957" s="48"/>
      <c r="I957" s="1694" t="s">
        <v>334</v>
      </c>
      <c r="J957" s="1695"/>
      <c r="K957" s="1695"/>
      <c r="L957" s="1695"/>
      <c r="M957" s="1695"/>
      <c r="N957" s="1695"/>
      <c r="O957" s="1695"/>
      <c r="P957" s="1695"/>
      <c r="Q957" s="1695"/>
      <c r="R957" s="1695"/>
      <c r="S957" s="1695"/>
      <c r="T957" s="1696"/>
      <c r="U957" s="1628" t="s">
        <v>591</v>
      </c>
      <c r="V957" s="1396"/>
      <c r="W957" s="1396"/>
      <c r="X957" s="1396"/>
      <c r="Y957" s="1396"/>
      <c r="Z957" s="1397"/>
      <c r="AA957" s="1632"/>
      <c r="AB957" s="1516"/>
      <c r="AC957" s="1516"/>
      <c r="AD957" s="1516"/>
      <c r="AE957" s="1516"/>
      <c r="AF957" s="1633"/>
      <c r="AV957" s="2"/>
      <c r="AW957" s="2"/>
      <c r="AX957" s="2"/>
      <c r="AY957" s="2"/>
      <c r="AZ957" s="34"/>
      <c r="BA957" s="34"/>
      <c r="BB957" s="34"/>
      <c r="BC957" s="34"/>
    </row>
    <row r="958" spans="6:55" ht="12.95" customHeight="1">
      <c r="F958" s="47" t="s">
        <v>170</v>
      </c>
      <c r="G958" s="48"/>
      <c r="H958" s="48"/>
      <c r="I958" s="1612" t="s">
        <v>2732</v>
      </c>
      <c r="J958" s="1695"/>
      <c r="K958" s="1695"/>
      <c r="L958" s="1695"/>
      <c r="M958" s="1695"/>
      <c r="N958" s="1695"/>
      <c r="O958" s="1695"/>
      <c r="P958" s="1695"/>
      <c r="Q958" s="1695"/>
      <c r="R958" s="1695"/>
      <c r="S958" s="1695"/>
      <c r="T958" s="1696"/>
      <c r="U958" s="1628" t="s">
        <v>591</v>
      </c>
      <c r="V958" s="1396"/>
      <c r="W958" s="1396"/>
      <c r="X958" s="1396"/>
      <c r="Y958" s="1396"/>
      <c r="Z958" s="1397"/>
      <c r="AA958" s="1632">
        <f>AM564</f>
        <v>5700000</v>
      </c>
      <c r="AB958" s="1516"/>
      <c r="AC958" s="1516"/>
      <c r="AD958" s="1516"/>
      <c r="AE958" s="1516"/>
      <c r="AF958" s="1633"/>
      <c r="AU958" s="2"/>
      <c r="AZ958" s="34"/>
      <c r="BA958" s="34"/>
      <c r="BB958" s="34"/>
      <c r="BC958" s="34"/>
    </row>
    <row r="959" spans="6:55" ht="12.95" customHeight="1">
      <c r="F959" s="47" t="s">
        <v>170</v>
      </c>
      <c r="G959" s="48"/>
      <c r="H959" s="48"/>
      <c r="I959" s="1694" t="s">
        <v>334</v>
      </c>
      <c r="J959" s="1695"/>
      <c r="K959" s="1695"/>
      <c r="L959" s="1695"/>
      <c r="M959" s="1695"/>
      <c r="N959" s="1695"/>
      <c r="O959" s="1695"/>
      <c r="P959" s="1695"/>
      <c r="Q959" s="1695"/>
      <c r="R959" s="1695"/>
      <c r="S959" s="1695"/>
      <c r="T959" s="1696"/>
      <c r="U959" s="1628" t="s">
        <v>591</v>
      </c>
      <c r="V959" s="1396"/>
      <c r="W959" s="1396"/>
      <c r="X959" s="1396"/>
      <c r="Y959" s="1396"/>
      <c r="Z959" s="1397"/>
      <c r="AA959" s="1632"/>
      <c r="AB959" s="1516"/>
      <c r="AC959" s="1516"/>
      <c r="AD959" s="1516"/>
      <c r="AE959" s="1516"/>
      <c r="AF959" s="1633"/>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700" t="s">
        <v>591</v>
      </c>
      <c r="N964" s="1497"/>
      <c r="O964" s="1497"/>
      <c r="P964" s="1497"/>
      <c r="Q964" s="1497"/>
      <c r="R964" s="1497"/>
      <c r="S964" s="1687"/>
      <c r="U964" s="66" t="s">
        <v>11</v>
      </c>
      <c r="V964" s="5"/>
      <c r="W964" s="5"/>
      <c r="X964" s="5"/>
      <c r="Y964" s="5"/>
      <c r="Z964" s="5"/>
      <c r="AA964" s="5"/>
      <c r="AB964" s="5"/>
      <c r="AC964" s="5"/>
      <c r="AD964" s="46"/>
      <c r="AE964" s="1700" t="s">
        <v>591</v>
      </c>
      <c r="AF964" s="1497"/>
      <c r="AG964" s="1497"/>
      <c r="AH964" s="1497"/>
      <c r="AI964" s="1497"/>
      <c r="AJ964" s="1497"/>
      <c r="AK964" s="1687"/>
      <c r="AZ964" s="34"/>
      <c r="BA964" s="34"/>
      <c r="BB964" s="34"/>
      <c r="BC964" s="34"/>
    </row>
    <row r="965" spans="1:64" ht="12.95" customHeight="1">
      <c r="C965" s="66" t="s">
        <v>12</v>
      </c>
      <c r="D965" s="5"/>
      <c r="E965" s="5"/>
      <c r="F965" s="5"/>
      <c r="G965" s="5"/>
      <c r="H965" s="5"/>
      <c r="I965" s="5"/>
      <c r="J965" s="5"/>
      <c r="K965" s="5"/>
      <c r="L965" s="46"/>
      <c r="M965" s="1698" t="s">
        <v>591</v>
      </c>
      <c r="N965" s="1562"/>
      <c r="O965" s="1562"/>
      <c r="P965" s="1562"/>
      <c r="Q965" s="1562"/>
      <c r="R965" s="1562"/>
      <c r="S965" s="1699"/>
      <c r="U965" s="66" t="s">
        <v>12</v>
      </c>
      <c r="V965" s="5"/>
      <c r="W965" s="5"/>
      <c r="X965" s="5"/>
      <c r="Y965" s="5"/>
      <c r="Z965" s="5"/>
      <c r="AA965" s="5"/>
      <c r="AB965" s="5"/>
      <c r="AC965" s="5"/>
      <c r="AD965" s="46"/>
      <c r="AE965" s="1698" t="s">
        <v>591</v>
      </c>
      <c r="AF965" s="1562"/>
      <c r="AG965" s="1562"/>
      <c r="AH965" s="1562"/>
      <c r="AI965" s="1562"/>
      <c r="AJ965" s="1562"/>
      <c r="AK965" s="1699"/>
      <c r="AZ965" s="34"/>
      <c r="BA965" s="34"/>
      <c r="BB965" s="34"/>
      <c r="BC965" s="34"/>
    </row>
    <row r="966" spans="1:64" ht="12.95" customHeight="1">
      <c r="C966" s="66" t="s">
        <v>880</v>
      </c>
      <c r="D966" s="5"/>
      <c r="E966" s="5"/>
      <c r="J966" s="1721" t="s">
        <v>591</v>
      </c>
      <c r="K966" s="1722"/>
      <c r="L966" s="1722"/>
      <c r="M966" s="1722"/>
      <c r="N966" s="1722"/>
      <c r="O966" s="1722"/>
      <c r="P966" s="1722"/>
      <c r="Q966" s="1722"/>
      <c r="R966" s="1722"/>
      <c r="S966" s="1723"/>
      <c r="U966" s="66" t="s">
        <v>880</v>
      </c>
      <c r="V966" s="5"/>
      <c r="W966" s="5"/>
      <c r="AB966" s="1721" t="s">
        <v>591</v>
      </c>
      <c r="AC966" s="1722"/>
      <c r="AD966" s="1722"/>
      <c r="AE966" s="1722"/>
      <c r="AF966" s="1722"/>
      <c r="AG966" s="1722"/>
      <c r="AH966" s="1722"/>
      <c r="AI966" s="1722"/>
      <c r="AJ966" s="1722"/>
      <c r="AK966" s="1723"/>
      <c r="AZ966" s="34"/>
      <c r="BA966" s="34"/>
      <c r="BB966" s="34"/>
      <c r="BC966" s="34"/>
    </row>
    <row r="967" spans="1:64" ht="12.95" customHeight="1">
      <c r="C967" s="66" t="s">
        <v>13</v>
      </c>
      <c r="D967" s="5"/>
      <c r="E967" s="5"/>
      <c r="F967" s="5"/>
      <c r="G967" s="5"/>
      <c r="H967" s="5"/>
      <c r="I967" s="5"/>
      <c r="J967" s="5"/>
      <c r="K967" s="5"/>
      <c r="L967" s="46"/>
      <c r="M967" s="1711" t="s">
        <v>591</v>
      </c>
      <c r="N967" s="1712"/>
      <c r="O967" s="1712"/>
      <c r="P967" s="1712"/>
      <c r="Q967" s="1712"/>
      <c r="R967" s="1712"/>
      <c r="S967" s="1713"/>
      <c r="U967" s="66" t="s">
        <v>13</v>
      </c>
      <c r="V967" s="5"/>
      <c r="W967" s="5"/>
      <c r="X967" s="5"/>
      <c r="Y967" s="5"/>
      <c r="Z967" s="5"/>
      <c r="AA967" s="5"/>
      <c r="AB967" s="5"/>
      <c r="AC967" s="5"/>
      <c r="AD967" s="46"/>
      <c r="AE967" s="1824" t="s">
        <v>591</v>
      </c>
      <c r="AF967" s="1712"/>
      <c r="AG967" s="1712"/>
      <c r="AH967" s="1712"/>
      <c r="AI967" s="1712"/>
      <c r="AJ967" s="1712"/>
      <c r="AK967" s="1713"/>
      <c r="AZ967" s="34"/>
      <c r="BA967" s="34"/>
      <c r="BB967" s="34"/>
      <c r="BC967" s="34"/>
    </row>
    <row r="968" spans="1:64" ht="12.95" customHeight="1">
      <c r="C968" s="66" t="s">
        <v>14</v>
      </c>
      <c r="D968" s="5"/>
      <c r="E968" s="5"/>
      <c r="F968" s="5"/>
      <c r="G968" s="5"/>
      <c r="H968" s="5"/>
      <c r="I968" s="5"/>
      <c r="J968" s="5"/>
      <c r="K968" s="5"/>
      <c r="L968" s="46"/>
      <c r="M968" s="1685" t="s">
        <v>591</v>
      </c>
      <c r="N968" s="1654"/>
      <c r="O968" s="1654"/>
      <c r="P968" s="1654"/>
      <c r="Q968" s="1654"/>
      <c r="R968" s="1654"/>
      <c r="S968" s="1655"/>
      <c r="U968" s="66" t="s">
        <v>14</v>
      </c>
      <c r="V968" s="5"/>
      <c r="W968" s="5"/>
      <c r="X968" s="5"/>
      <c r="Y968" s="5"/>
      <c r="Z968" s="5"/>
      <c r="AA968" s="5"/>
      <c r="AB968" s="5"/>
      <c r="AC968" s="5"/>
      <c r="AD968" s="46"/>
      <c r="AE968" s="1685" t="s">
        <v>591</v>
      </c>
      <c r="AF968" s="1654"/>
      <c r="AG968" s="1654"/>
      <c r="AH968" s="1654"/>
      <c r="AI968" s="1654"/>
      <c r="AJ968" s="1654"/>
      <c r="AK968" s="1655"/>
      <c r="AV968" s="2"/>
      <c r="AW968" s="2"/>
      <c r="AX968" s="2"/>
      <c r="AY968" s="2"/>
      <c r="AZ968" s="34"/>
      <c r="BA968" s="34"/>
      <c r="BB968" s="34"/>
      <c r="BC968" s="34"/>
    </row>
    <row r="969" spans="1:64" ht="12.95" customHeight="1">
      <c r="C969" s="66" t="s">
        <v>15</v>
      </c>
      <c r="D969" s="5"/>
      <c r="E969" s="5"/>
      <c r="F969" s="5"/>
      <c r="G969" s="5"/>
      <c r="H969" s="5"/>
      <c r="I969" s="5"/>
      <c r="J969" s="5"/>
      <c r="K969" s="5"/>
      <c r="L969" s="46"/>
      <c r="M969" s="1632" t="s">
        <v>591</v>
      </c>
      <c r="N969" s="1516"/>
      <c r="O969" s="1516"/>
      <c r="P969" s="1516"/>
      <c r="Q969" s="1516"/>
      <c r="R969" s="1516"/>
      <c r="S969" s="1633"/>
      <c r="U969" s="66" t="s">
        <v>15</v>
      </c>
      <c r="V969" s="5"/>
      <c r="W969" s="5"/>
      <c r="X969" s="5"/>
      <c r="Y969" s="5"/>
      <c r="Z969" s="5"/>
      <c r="AA969" s="5"/>
      <c r="AB969" s="5"/>
      <c r="AC969" s="5"/>
      <c r="AD969" s="46"/>
      <c r="AE969" s="1632" t="s">
        <v>591</v>
      </c>
      <c r="AF969" s="1516"/>
      <c r="AG969" s="1516"/>
      <c r="AH969" s="1516"/>
      <c r="AI969" s="1516"/>
      <c r="AJ969" s="1516"/>
      <c r="AK969" s="1633"/>
      <c r="AV969" s="2"/>
      <c r="AW969" s="2"/>
      <c r="AX969" s="2"/>
      <c r="AY969" s="2"/>
      <c r="AZ969" s="34"/>
      <c r="BA969" s="34"/>
      <c r="BB969" s="34"/>
      <c r="BC969" s="34"/>
    </row>
    <row r="970" spans="1:64" ht="12.95" customHeight="1">
      <c r="C970" s="66" t="s">
        <v>16</v>
      </c>
      <c r="D970" s="5"/>
      <c r="E970" s="5"/>
      <c r="F970" s="5"/>
      <c r="G970" s="5"/>
      <c r="H970" s="5"/>
      <c r="I970" s="5"/>
      <c r="J970" s="5"/>
      <c r="K970" s="5"/>
      <c r="L970" s="46"/>
      <c r="M970" s="1632" t="s">
        <v>591</v>
      </c>
      <c r="N970" s="1516"/>
      <c r="O970" s="1516"/>
      <c r="P970" s="1516"/>
      <c r="Q970" s="1516"/>
      <c r="R970" s="1516"/>
      <c r="S970" s="1633"/>
      <c r="U970" s="66" t="s">
        <v>16</v>
      </c>
      <c r="V970" s="5"/>
      <c r="W970" s="5"/>
      <c r="X970" s="5"/>
      <c r="Y970" s="5"/>
      <c r="Z970" s="5"/>
      <c r="AA970" s="5"/>
      <c r="AB970" s="5"/>
      <c r="AC970" s="5"/>
      <c r="AD970" s="46"/>
      <c r="AE970" s="1632" t="s">
        <v>591</v>
      </c>
      <c r="AF970" s="1516"/>
      <c r="AG970" s="1516"/>
      <c r="AH970" s="1516"/>
      <c r="AI970" s="1516"/>
      <c r="AJ970" s="1516"/>
      <c r="AK970" s="1633"/>
      <c r="AV970" s="2"/>
      <c r="AW970" s="2"/>
      <c r="AX970" s="2"/>
      <c r="AY970" s="2"/>
      <c r="AZ970" s="34"/>
      <c r="BB970" s="34"/>
      <c r="BC970" s="34"/>
    </row>
    <row r="971" spans="1:64" ht="12.95" customHeight="1">
      <c r="C971" s="121" t="s">
        <v>1649</v>
      </c>
      <c r="D971" s="5"/>
      <c r="E971" s="5"/>
      <c r="F971" s="5"/>
      <c r="G971" s="5"/>
      <c r="H971" s="5"/>
      <c r="I971" s="5"/>
      <c r="J971" s="5"/>
      <c r="K971" s="5"/>
      <c r="L971" s="46"/>
      <c r="M971" s="1821" t="s">
        <v>591</v>
      </c>
      <c r="N971" s="1822"/>
      <c r="O971" s="1822"/>
      <c r="P971" s="1822"/>
      <c r="Q971" s="1822"/>
      <c r="R971" s="1822"/>
      <c r="S971" s="1823"/>
      <c r="U971" s="121" t="s">
        <v>1649</v>
      </c>
      <c r="V971" s="5"/>
      <c r="W971" s="5"/>
      <c r="X971" s="5"/>
      <c r="Y971" s="5"/>
      <c r="Z971" s="5"/>
      <c r="AA971" s="5"/>
      <c r="AB971" s="5"/>
      <c r="AC971" s="5"/>
      <c r="AD971" s="46"/>
      <c r="AE971" s="1821" t="s">
        <v>591</v>
      </c>
      <c r="AF971" s="1822"/>
      <c r="AG971" s="1822"/>
      <c r="AH971" s="1822"/>
      <c r="AI971" s="1822"/>
      <c r="AJ971" s="1822"/>
      <c r="AK971" s="1823"/>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88" t="s">
        <v>591</v>
      </c>
      <c r="N976" s="1689"/>
      <c r="O976" s="1689"/>
      <c r="P976" s="1689"/>
      <c r="Q976" s="1689"/>
      <c r="R976" s="1689"/>
      <c r="S976" s="1690"/>
      <c r="T976" s="66" t="s">
        <v>790</v>
      </c>
      <c r="U976" s="5"/>
      <c r="V976" s="5"/>
      <c r="W976" s="5"/>
      <c r="X976" s="5"/>
      <c r="Y976" s="5"/>
      <c r="Z976" s="46"/>
      <c r="AA976" s="1688" t="s">
        <v>591</v>
      </c>
      <c r="AB976" s="1689"/>
      <c r="AC976" s="1689"/>
      <c r="AD976" s="1689"/>
      <c r="AE976" s="1689"/>
      <c r="AF976" s="1689"/>
      <c r="AG976" s="169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88" t="s">
        <v>591</v>
      </c>
      <c r="N977" s="1689"/>
      <c r="O977" s="1689"/>
      <c r="P977" s="1689"/>
      <c r="Q977" s="1689"/>
      <c r="R977" s="1689"/>
      <c r="S977" s="1690"/>
      <c r="T977" s="66" t="s">
        <v>789</v>
      </c>
      <c r="U977" s="5"/>
      <c r="V977" s="5"/>
      <c r="W977" s="5"/>
      <c r="X977" s="5"/>
      <c r="Y977" s="5"/>
      <c r="Z977" s="46"/>
      <c r="AA977" s="1688" t="s">
        <v>591</v>
      </c>
      <c r="AB977" s="1689"/>
      <c r="AC977" s="1689"/>
      <c r="AD977" s="1689"/>
      <c r="AE977" s="1689"/>
      <c r="AF977" s="1689"/>
      <c r="AG977" s="169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714" t="s">
        <v>591</v>
      </c>
      <c r="N978" s="1715"/>
      <c r="O978" s="1715"/>
      <c r="P978" s="1715"/>
      <c r="Q978" s="1715"/>
      <c r="R978" s="1715"/>
      <c r="S978" s="1716"/>
      <c r="T978" s="45" t="s">
        <v>337</v>
      </c>
      <c r="U978" s="5"/>
      <c r="V978" s="5"/>
      <c r="W978" s="5"/>
      <c r="X978" s="5"/>
      <c r="Y978" s="5"/>
      <c r="Z978" s="46"/>
      <c r="AA978" s="1688" t="s">
        <v>591</v>
      </c>
      <c r="AB978" s="1689"/>
      <c r="AC978" s="1689"/>
      <c r="AD978" s="1689"/>
      <c r="AE978" s="1689"/>
      <c r="AF978" s="1689"/>
      <c r="AG978" s="169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88" t="s">
        <v>591</v>
      </c>
      <c r="N979" s="1689"/>
      <c r="O979" s="1689"/>
      <c r="P979" s="1689"/>
      <c r="Q979" s="1689"/>
      <c r="R979" s="1689"/>
      <c r="S979" s="1690"/>
      <c r="T979" s="45" t="s">
        <v>338</v>
      </c>
      <c r="U979" s="5"/>
      <c r="V979" s="5"/>
      <c r="W979" s="5"/>
      <c r="X979" s="5"/>
      <c r="Y979" s="5"/>
      <c r="Z979" s="46"/>
      <c r="AA979" s="1688" t="s">
        <v>591</v>
      </c>
      <c r="AB979" s="1689"/>
      <c r="AC979" s="1689"/>
      <c r="AD979" s="1689"/>
      <c r="AE979" s="1689"/>
      <c r="AF979" s="1689"/>
      <c r="AG979" s="169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88" t="s">
        <v>591</v>
      </c>
      <c r="N980" s="1689"/>
      <c r="O980" s="1689"/>
      <c r="P980" s="1689"/>
      <c r="Q980" s="1689"/>
      <c r="R980" s="1689"/>
      <c r="S980" s="1690"/>
      <c r="T980" s="45" t="s">
        <v>376</v>
      </c>
      <c r="U980" s="5"/>
      <c r="V980" s="5"/>
      <c r="W980" s="5"/>
      <c r="X980" s="5"/>
      <c r="Y980" s="5"/>
      <c r="Z980" s="46"/>
      <c r="AA980" s="1688" t="s">
        <v>591</v>
      </c>
      <c r="AB980" s="1689"/>
      <c r="AC980" s="1689"/>
      <c r="AD980" s="1689"/>
      <c r="AE980" s="1689"/>
      <c r="AF980" s="1689"/>
      <c r="AG980" s="169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721" t="s">
        <v>591</v>
      </c>
      <c r="N981" s="1722"/>
      <c r="O981" s="1722"/>
      <c r="P981" s="1722"/>
      <c r="Q981" s="1722"/>
      <c r="R981" s="1722"/>
      <c r="S981" s="1723"/>
      <c r="T981" s="1754"/>
      <c r="U981" s="1755"/>
      <c r="V981" s="1755"/>
      <c r="W981" s="1755"/>
      <c r="X981" s="1755"/>
      <c r="Y981" s="1755"/>
      <c r="Z981" s="1756"/>
      <c r="AA981" s="1688" t="s">
        <v>591</v>
      </c>
      <c r="AB981" s="1689"/>
      <c r="AC981" s="1689"/>
      <c r="AD981" s="1689"/>
      <c r="AE981" s="1689"/>
      <c r="AF981" s="1689"/>
      <c r="AG981" s="169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88" t="s">
        <v>591</v>
      </c>
      <c r="N982" s="1689"/>
      <c r="O982" s="1689"/>
      <c r="P982" s="1689"/>
      <c r="Q982" s="1689"/>
      <c r="R982" s="1689"/>
      <c r="S982" s="1690"/>
      <c r="T982" s="1754"/>
      <c r="U982" s="1755"/>
      <c r="V982" s="1755"/>
      <c r="W982" s="1755"/>
      <c r="X982" s="1755"/>
      <c r="Y982" s="1755"/>
      <c r="Z982" s="1756"/>
      <c r="AA982" s="1688" t="s">
        <v>591</v>
      </c>
      <c r="AB982" s="1689"/>
      <c r="AC982" s="1689"/>
      <c r="AD982" s="1689"/>
      <c r="AE982" s="1689"/>
      <c r="AF982" s="1689"/>
      <c r="AG982" s="169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69" t="s">
        <v>669</v>
      </c>
      <c r="P983" s="1471"/>
      <c r="Q983" s="92"/>
      <c r="R983" s="92"/>
      <c r="S983" s="93"/>
      <c r="T983" s="41" t="s">
        <v>170</v>
      </c>
      <c r="U983" s="42"/>
      <c r="V983" s="42"/>
      <c r="W983" s="1803" t="s">
        <v>591</v>
      </c>
      <c r="X983" s="1804"/>
      <c r="Y983" s="1804"/>
      <c r="Z983" s="1804"/>
      <c r="AA983" s="1804"/>
      <c r="AB983" s="1804"/>
      <c r="AC983" s="1804"/>
      <c r="AD983" s="1804"/>
      <c r="AE983" s="1804"/>
      <c r="AF983" s="1804"/>
      <c r="AG983" s="1805"/>
      <c r="AU983" s="68"/>
      <c r="AV983" s="95"/>
      <c r="AW983" s="95"/>
      <c r="AX983" s="95"/>
      <c r="AY983" s="95"/>
      <c r="AZ983" s="34"/>
      <c r="BB983" s="34"/>
      <c r="BC983" s="34"/>
      <c r="BD983" s="34"/>
      <c r="BE983" s="34"/>
      <c r="BF983" s="34"/>
      <c r="BG983" s="34"/>
      <c r="BH983" s="34"/>
      <c r="BI983" s="34"/>
      <c r="BJ983" s="34"/>
      <c r="BK983" s="34"/>
      <c r="BL983" s="34"/>
    </row>
    <row r="984" spans="1:64" ht="12.95" customHeight="1">
      <c r="F984" s="1617" t="s">
        <v>33</v>
      </c>
      <c r="G984" s="1391"/>
      <c r="H984" s="1391"/>
      <c r="I984" s="1391"/>
      <c r="J984" s="1391"/>
      <c r="K984" s="1391"/>
      <c r="L984" s="1391"/>
      <c r="M984" s="1688" t="s">
        <v>591</v>
      </c>
      <c r="N984" s="1689"/>
      <c r="O984" s="1689"/>
      <c r="P984" s="1689"/>
      <c r="Q984" s="1689"/>
      <c r="R984" s="1689"/>
      <c r="S984" s="1690"/>
      <c r="T984" s="47"/>
      <c r="U984" s="48"/>
      <c r="V984" s="48"/>
      <c r="W984" s="48"/>
      <c r="X984" s="48"/>
      <c r="Y984" s="48"/>
      <c r="Z984" s="124" t="s">
        <v>134</v>
      </c>
      <c r="AA984" s="1767" t="s">
        <v>591</v>
      </c>
      <c r="AB984" s="1768"/>
      <c r="AC984" s="1768"/>
      <c r="AD984" s="1768"/>
      <c r="AE984" s="1768"/>
      <c r="AF984" s="1768"/>
      <c r="AG984" s="1769"/>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19"/>
      <c r="BH985" s="1619"/>
      <c r="BI985" s="1619"/>
      <c r="BJ985" s="1619"/>
      <c r="BK985" s="1619"/>
      <c r="BL985" s="1619"/>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6" t="s">
        <v>548</v>
      </c>
      <c r="B988" s="1526"/>
      <c r="C988" s="1526"/>
      <c r="D988" s="1526"/>
      <c r="E988" s="1526"/>
      <c r="F988" s="1526"/>
      <c r="G988" s="1526"/>
      <c r="H988" s="1526"/>
      <c r="I988" s="1526"/>
      <c r="J988" s="1526"/>
      <c r="K988" s="1526"/>
      <c r="L988" s="1526"/>
      <c r="M988" s="1526"/>
      <c r="N988" s="1526"/>
      <c r="O988" s="1526"/>
      <c r="P988" s="1526"/>
      <c r="Q988" s="1526"/>
      <c r="R988" s="1526"/>
      <c r="S988" s="1526"/>
      <c r="T988" s="1526"/>
      <c r="U988" s="1526"/>
      <c r="V988" s="1526"/>
      <c r="W988" s="1526"/>
      <c r="X988" s="1526"/>
      <c r="Y988" s="1526"/>
      <c r="Z988" s="1526"/>
      <c r="AA988" s="1526"/>
      <c r="AB988" s="1526"/>
      <c r="AC988" s="1526"/>
      <c r="AD988" s="1526"/>
      <c r="AE988" s="1526"/>
      <c r="AF988" s="1526"/>
      <c r="AG988" s="1526"/>
      <c r="AH988" s="1526"/>
      <c r="AI988" s="1526"/>
      <c r="AJ988" s="1526"/>
      <c r="AK988" s="1526"/>
      <c r="AL988" s="1526"/>
      <c r="AM988" s="1526"/>
      <c r="AN988" s="1526"/>
      <c r="AO988" s="1526"/>
      <c r="AP988" s="1526"/>
      <c r="AQ988" s="1526"/>
      <c r="AR988" s="1526"/>
      <c r="AS988" s="1526"/>
      <c r="AT988" s="1526"/>
      <c r="AU988" s="68"/>
      <c r="AV988" s="68"/>
      <c r="AW988" s="68"/>
      <c r="AX988" s="68"/>
      <c r="AY988" s="68"/>
      <c r="AZ988" s="14"/>
      <c r="BA988" s="14"/>
      <c r="BB988" s="908"/>
      <c r="BC988" s="908"/>
    </row>
    <row r="989" spans="1:64" ht="12.95" customHeight="1">
      <c r="A989" s="1526"/>
      <c r="B989" s="1526"/>
      <c r="C989" s="1526"/>
      <c r="D989" s="1526"/>
      <c r="E989" s="1526"/>
      <c r="F989" s="1526"/>
      <c r="G989" s="1526"/>
      <c r="H989" s="1526"/>
      <c r="I989" s="1526"/>
      <c r="J989" s="1526"/>
      <c r="K989" s="1526"/>
      <c r="L989" s="1526"/>
      <c r="M989" s="1526"/>
      <c r="N989" s="1526"/>
      <c r="O989" s="1526"/>
      <c r="P989" s="1526"/>
      <c r="Q989" s="1526"/>
      <c r="R989" s="1526"/>
      <c r="S989" s="1526"/>
      <c r="T989" s="1526"/>
      <c r="U989" s="1526"/>
      <c r="V989" s="1526"/>
      <c r="W989" s="1526"/>
      <c r="X989" s="1526"/>
      <c r="Y989" s="1526"/>
      <c r="Z989" s="1526"/>
      <c r="AA989" s="1526"/>
      <c r="AB989" s="1526"/>
      <c r="AC989" s="1526"/>
      <c r="AD989" s="1526"/>
      <c r="AE989" s="1526"/>
      <c r="AF989" s="1526"/>
      <c r="AG989" s="1526"/>
      <c r="AH989" s="1526"/>
      <c r="AI989" s="1526"/>
      <c r="AJ989" s="1526"/>
      <c r="AK989" s="1526"/>
      <c r="AL989" s="1526"/>
      <c r="AM989" s="1526"/>
      <c r="AN989" s="1526"/>
      <c r="AO989" s="1526"/>
      <c r="AP989" s="1526"/>
      <c r="AQ989" s="1526"/>
      <c r="AR989" s="1526"/>
      <c r="AS989" s="1526"/>
      <c r="AT989" s="1526"/>
      <c r="AU989" s="68"/>
      <c r="AV989" s="68"/>
      <c r="AW989" s="68"/>
      <c r="AX989" s="68"/>
      <c r="AY989" s="68"/>
      <c r="AZ989" s="30"/>
      <c r="BA989" s="14"/>
      <c r="BB989" s="14"/>
      <c r="BC989" s="14"/>
    </row>
    <row r="990" spans="1:64" ht="12.95" customHeight="1">
      <c r="A990" s="1526"/>
      <c r="B990" s="1526"/>
      <c r="C990" s="1526"/>
      <c r="D990" s="1526"/>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1526"/>
      <c r="AF990" s="1526"/>
      <c r="AG990" s="1526"/>
      <c r="AH990" s="1526"/>
      <c r="AI990" s="1526"/>
      <c r="AJ990" s="1526"/>
      <c r="AK990" s="1526"/>
      <c r="AL990" s="1526"/>
      <c r="AM990" s="1526"/>
      <c r="AN990" s="1526"/>
      <c r="AO990" s="1526"/>
      <c r="AP990" s="1526"/>
      <c r="AQ990" s="1526"/>
      <c r="AR990" s="1526"/>
      <c r="AS990" s="1526"/>
      <c r="AT990" s="1526"/>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798" t="s">
        <v>638</v>
      </c>
      <c r="E994" s="1799"/>
      <c r="F994" s="1799"/>
      <c r="G994" s="1799"/>
      <c r="H994" s="1799"/>
      <c r="I994" s="1799"/>
      <c r="J994" s="1799"/>
      <c r="K994" s="1799"/>
      <c r="L994" s="1799"/>
      <c r="M994" s="1799"/>
      <c r="N994" s="1799"/>
      <c r="O994" s="1799"/>
      <c r="P994" s="1799"/>
      <c r="Q994" s="1800"/>
      <c r="R994" s="1798" t="s">
        <v>639</v>
      </c>
      <c r="S994" s="1799"/>
      <c r="T994" s="1799"/>
      <c r="U994" s="1799"/>
      <c r="V994" s="1799"/>
      <c r="W994" s="1799"/>
      <c r="X994" s="1799"/>
      <c r="Y994" s="1799"/>
      <c r="Z994" s="1799"/>
      <c r="AA994" s="1800"/>
      <c r="AB994" s="1798" t="s">
        <v>640</v>
      </c>
      <c r="AC994" s="1799"/>
      <c r="AD994" s="1799"/>
      <c r="AE994" s="1799"/>
      <c r="AF994" s="1799"/>
      <c r="AG994" s="1799"/>
      <c r="AH994" s="1799"/>
      <c r="AI994" s="1800"/>
      <c r="AJ994" s="1798" t="s">
        <v>641</v>
      </c>
      <c r="AK994" s="1799"/>
      <c r="AL994" s="1799"/>
      <c r="AM994" s="1799"/>
      <c r="AN994" s="1799"/>
      <c r="AO994" s="1799"/>
      <c r="AP994" s="1799"/>
      <c r="AQ994" s="1800"/>
      <c r="AR994" s="68"/>
      <c r="AS994" s="68"/>
      <c r="AT994" s="68"/>
      <c r="AU994" s="68"/>
      <c r="AV994" s="68"/>
      <c r="AW994" s="68"/>
      <c r="AX994" s="68"/>
      <c r="AY994" s="68"/>
      <c r="AZ994" s="30"/>
      <c r="BB994" s="14"/>
      <c r="BC994" s="14"/>
    </row>
    <row r="995" spans="1:55" ht="12.95" customHeight="1">
      <c r="A995" s="14"/>
      <c r="B995" s="73"/>
      <c r="C995" s="925"/>
      <c r="D995" s="1674" t="s">
        <v>633</v>
      </c>
      <c r="E995" s="1675"/>
      <c r="F995" s="1675"/>
      <c r="G995" s="1675"/>
      <c r="H995" s="1675"/>
      <c r="I995" s="1675"/>
      <c r="J995" s="1675"/>
      <c r="K995" s="1675"/>
      <c r="L995" s="1675"/>
      <c r="M995" s="1675"/>
      <c r="N995" s="1675"/>
      <c r="O995" s="1675"/>
      <c r="P995" s="1675"/>
      <c r="Q995" s="1676"/>
      <c r="R995" s="1802">
        <f>IF(ISNA(IF($CU$122="4%",(INDEX($CS$160:$CW$217,MATCH($DG$122,$CR$160:$CR$217,0),MATCH(D995,$CS$159:$CW$159,0))),(INDEX($CZ$160:$DD$217,MATCH($DG$122,$CY$160:$CY$217,0),MATCH(D995,$CZ$159:$DD$159,0))))),0,IF($CU$122="4%",(INDEX($CS$160:$CW$217,MATCH($DG$122,$CR$160:$CR$217,0),MATCH(D995,$CS$159:$CW$159,0))),(INDEX($CZ$160:$DD$217,MATCH($DG$122,$CY$160:$CY$217,0),MATCH(D995,$CZ$159:$DD$159,0)))))</f>
        <v>437727</v>
      </c>
      <c r="S995" s="1802"/>
      <c r="T995" s="1802"/>
      <c r="U995" s="1802"/>
      <c r="V995" s="1802"/>
      <c r="W995" s="1802"/>
      <c r="X995" s="1802"/>
      <c r="Y995" s="1802"/>
      <c r="Z995" s="1802"/>
      <c r="AA995" s="1802"/>
      <c r="AB995" s="1786">
        <f>CP810</f>
        <v>0</v>
      </c>
      <c r="AC995" s="1787"/>
      <c r="AD995" s="1787"/>
      <c r="AE995" s="1787"/>
      <c r="AF995" s="1787"/>
      <c r="AG995" s="1787"/>
      <c r="AH995" s="1787"/>
      <c r="AI995" s="1788"/>
      <c r="AJ995" s="1708">
        <f>IF(ISERROR((R995*AB995)),0,(R995*AB995))</f>
        <v>0</v>
      </c>
      <c r="AK995" s="1709"/>
      <c r="AL995" s="1709"/>
      <c r="AM995" s="1709"/>
      <c r="AN995" s="1709"/>
      <c r="AO995" s="1709"/>
      <c r="AP995" s="1709"/>
      <c r="AQ995" s="1710"/>
      <c r="AR995" s="68"/>
      <c r="AS995" s="68"/>
      <c r="AT995" s="68"/>
      <c r="AU995" s="68"/>
      <c r="AV995" s="68"/>
      <c r="AW995" s="68"/>
      <c r="AX995" s="68"/>
      <c r="AY995" s="68"/>
      <c r="AZ995" s="30"/>
      <c r="BB995" s="14"/>
      <c r="BC995" s="14"/>
    </row>
    <row r="996" spans="1:55" ht="12.95" customHeight="1">
      <c r="A996" s="14"/>
      <c r="B996" s="73"/>
      <c r="C996" s="83"/>
      <c r="D996" s="1674" t="s">
        <v>325</v>
      </c>
      <c r="E996" s="1675"/>
      <c r="F996" s="1675"/>
      <c r="G996" s="1675"/>
      <c r="H996" s="1675"/>
      <c r="I996" s="1675"/>
      <c r="J996" s="1675"/>
      <c r="K996" s="1675"/>
      <c r="L996" s="1675"/>
      <c r="M996" s="1675"/>
      <c r="N996" s="1675"/>
      <c r="O996" s="1675"/>
      <c r="P996" s="1675"/>
      <c r="Q996" s="1676"/>
      <c r="R996" s="1802">
        <f>IF(ISNA(IF($CU$122="4%",(INDEX($CS$160:$CW$217,MATCH($DG$122,$CR$160:$CR$217,0),MATCH(D996,$CS$159:$CW$159,0))),(INDEX($CZ$160:$DD$217,MATCH($DG$122,$CY$160:$CY$217,0),MATCH(D996,$CZ$159:$DD$159,0))))),0,IF($CU$122="4%",(INDEX($CS$160:$CW$217,MATCH($DG$122,$CR$160:$CR$217,0),MATCH(D996,$CS$159:$CW$159,0))),(INDEX($CZ$160:$DD$217,MATCH($DG$122,$CY$160:$CY$217,0),MATCH(D996,$CZ$159:$DD$159,0)))))</f>
        <v>504695</v>
      </c>
      <c r="S996" s="1802"/>
      <c r="T996" s="1802"/>
      <c r="U996" s="1802"/>
      <c r="V996" s="1802"/>
      <c r="W996" s="1802"/>
      <c r="X996" s="1802"/>
      <c r="Y996" s="1802"/>
      <c r="Z996" s="1802"/>
      <c r="AA996" s="1802"/>
      <c r="AB996" s="1786">
        <f>CU810</f>
        <v>73</v>
      </c>
      <c r="AC996" s="1787"/>
      <c r="AD996" s="1787"/>
      <c r="AE996" s="1787"/>
      <c r="AF996" s="1787"/>
      <c r="AG996" s="1787"/>
      <c r="AH996" s="1787"/>
      <c r="AI996" s="1788"/>
      <c r="AJ996" s="1708">
        <f>IF(ISERROR((R996*AB996)),0,(R996*AB996))</f>
        <v>36842735</v>
      </c>
      <c r="AK996" s="1709"/>
      <c r="AL996" s="1709"/>
      <c r="AM996" s="1709"/>
      <c r="AN996" s="1709"/>
      <c r="AO996" s="1709"/>
      <c r="AP996" s="1709"/>
      <c r="AQ996" s="1710"/>
      <c r="AR996" s="68"/>
      <c r="AS996" s="68"/>
      <c r="AT996" s="68"/>
      <c r="AU996" s="68"/>
      <c r="AV996" s="68"/>
      <c r="AW996" s="68"/>
      <c r="AX996" s="68"/>
      <c r="AY996" s="68"/>
      <c r="AZ996" s="30"/>
      <c r="BB996" s="14"/>
      <c r="BC996" s="14"/>
    </row>
    <row r="997" spans="1:55" ht="12.95" customHeight="1">
      <c r="A997" s="14"/>
      <c r="B997" s="73"/>
      <c r="C997" s="83"/>
      <c r="D997" s="1674" t="s">
        <v>163</v>
      </c>
      <c r="E997" s="1675"/>
      <c r="F997" s="1675"/>
      <c r="G997" s="1675"/>
      <c r="H997" s="1675"/>
      <c r="I997" s="1675"/>
      <c r="J997" s="1675"/>
      <c r="K997" s="1675"/>
      <c r="L997" s="1675"/>
      <c r="M997" s="1675"/>
      <c r="N997" s="1675"/>
      <c r="O997" s="1675"/>
      <c r="P997" s="1675"/>
      <c r="Q997" s="1676"/>
      <c r="R997" s="1802">
        <f>IF(ISNA(IF($CU$122="4%",(INDEX($CS$160:$CW$217,MATCH($DG$122,$CR$160:$CR$217,0),MATCH(D997,$CS$159:$CW$159,0))),(INDEX($CZ$160:$DD$217,MATCH($DG$122,$CY$160:$CY$217,0),MATCH(D997,$CZ$159:$DD$159,0))))),0,IF($CU$122="4%",(INDEX($CS$160:$CW$217,MATCH($DG$122,$CR$160:$CR$217,0),MATCH(D997,$CS$159:$CW$159,0))),(INDEX($CZ$160:$DD$217,MATCH($DG$122,$CY$160:$CY$217,0),MATCH(D997,$CZ$159:$DD$159,0)))))</f>
        <v>608800</v>
      </c>
      <c r="S997" s="1802"/>
      <c r="T997" s="1802"/>
      <c r="U997" s="1802"/>
      <c r="V997" s="1802"/>
      <c r="W997" s="1802"/>
      <c r="X997" s="1802"/>
      <c r="Y997" s="1802"/>
      <c r="Z997" s="1802"/>
      <c r="AA997" s="1802"/>
      <c r="AB997" s="1786">
        <f>CZ810</f>
        <v>51</v>
      </c>
      <c r="AC997" s="1787"/>
      <c r="AD997" s="1787"/>
      <c r="AE997" s="1787"/>
      <c r="AF997" s="1787"/>
      <c r="AG997" s="1787"/>
      <c r="AH997" s="1787"/>
      <c r="AI997" s="1788"/>
      <c r="AJ997" s="1708">
        <f>IF(ISERROR((R997*AB997)),0,(R997*AB997))</f>
        <v>31048800</v>
      </c>
      <c r="AK997" s="1709"/>
      <c r="AL997" s="1709"/>
      <c r="AM997" s="1709"/>
      <c r="AN997" s="1709"/>
      <c r="AO997" s="1709"/>
      <c r="AP997" s="1709"/>
      <c r="AQ997" s="1710"/>
      <c r="AR997" s="68"/>
      <c r="AS997" s="68"/>
      <c r="AT997" s="68"/>
      <c r="AU997" s="68"/>
      <c r="AV997" s="68"/>
      <c r="AW997" s="68"/>
      <c r="AX997" s="68"/>
      <c r="AY997" s="68"/>
      <c r="AZ997" s="30"/>
      <c r="BB997" s="14"/>
      <c r="BC997" s="14"/>
    </row>
    <row r="998" spans="1:55" ht="12.95" customHeight="1">
      <c r="A998" s="14"/>
      <c r="B998" s="73"/>
      <c r="C998" s="83"/>
      <c r="D998" s="1674" t="s">
        <v>164</v>
      </c>
      <c r="E998" s="1675"/>
      <c r="F998" s="1675"/>
      <c r="G998" s="1675"/>
      <c r="H998" s="1675"/>
      <c r="I998" s="1675"/>
      <c r="J998" s="1675"/>
      <c r="K998" s="1675"/>
      <c r="L998" s="1675"/>
      <c r="M998" s="1675"/>
      <c r="N998" s="1675"/>
      <c r="O998" s="1675"/>
      <c r="P998" s="1675"/>
      <c r="Q998" s="1676"/>
      <c r="R998" s="1802">
        <f>IF(ISNA(IF($CU$122="4%",(INDEX($CS$160:$CW$217,MATCH($DG$122,$CR$160:$CR$217,0),MATCH(D998,$CS$159:$CW$159,0))),(INDEX($CZ$160:$DD$217,MATCH($DG$122,$CY$160:$CY$217,0),MATCH(D998,$CZ$159:$DD$159,0))))),0,IF($CU$122="4%",(INDEX($CS$160:$CW$217,MATCH($DG$122,$CR$160:$CR$217,0),MATCH(D998,$CS$159:$CW$159,0))),(INDEX($CZ$160:$DD$217,MATCH($DG$122,$CY$160:$CY$217,0),MATCH(D998,$CZ$159:$DD$159,0)))))</f>
        <v>779264</v>
      </c>
      <c r="S998" s="1802"/>
      <c r="T998" s="1802"/>
      <c r="U998" s="1802"/>
      <c r="V998" s="1802"/>
      <c r="W998" s="1802"/>
      <c r="X998" s="1802"/>
      <c r="Y998" s="1802"/>
      <c r="Z998" s="1802"/>
      <c r="AA998" s="1802"/>
      <c r="AB998" s="1786">
        <f>DE810</f>
        <v>23</v>
      </c>
      <c r="AC998" s="1787"/>
      <c r="AD998" s="1787"/>
      <c r="AE998" s="1787"/>
      <c r="AF998" s="1787"/>
      <c r="AG998" s="1787"/>
      <c r="AH998" s="1787"/>
      <c r="AI998" s="1788"/>
      <c r="AJ998" s="1708">
        <f>IF(ISERROR((R998*AB998)),0,(R998*AB998))</f>
        <v>17923072</v>
      </c>
      <c r="AK998" s="1709"/>
      <c r="AL998" s="1709"/>
      <c r="AM998" s="1709"/>
      <c r="AN998" s="1709"/>
      <c r="AO998" s="1709"/>
      <c r="AP998" s="1709"/>
      <c r="AQ998" s="1710"/>
      <c r="AR998" s="68"/>
      <c r="AS998" s="68"/>
      <c r="AT998" s="68"/>
      <c r="AU998" s="68"/>
      <c r="AV998" s="68"/>
      <c r="AW998" s="68"/>
      <c r="AX998" s="68"/>
      <c r="AY998" s="68"/>
      <c r="AZ998" s="30"/>
      <c r="BA998" s="34"/>
      <c r="BB998" s="14"/>
      <c r="BC998" s="14"/>
    </row>
    <row r="999" spans="1:55" ht="12.95" customHeight="1">
      <c r="A999" s="14"/>
      <c r="B999" s="47"/>
      <c r="C999" s="78"/>
      <c r="D999" s="1674" t="s">
        <v>460</v>
      </c>
      <c r="E999" s="1675"/>
      <c r="F999" s="1675"/>
      <c r="G999" s="1675"/>
      <c r="H999" s="1675"/>
      <c r="I999" s="1675"/>
      <c r="J999" s="1675"/>
      <c r="K999" s="1675"/>
      <c r="L999" s="1675"/>
      <c r="M999" s="1675"/>
      <c r="N999" s="1675"/>
      <c r="O999" s="1675"/>
      <c r="P999" s="1675"/>
      <c r="Q999" s="1676"/>
      <c r="R999" s="1802">
        <f>IF(ISNA(IF($CU$122="4%",(INDEX($CS$160:$CW$217,MATCH($DG$122,$CR$160:$CR$217,0),MATCH(D999,$CS$159:$CW$159,0))),(INDEX($CZ$160:$DD$217,MATCH($DG$122,$CY$160:$CY$217,0),MATCH(D999,$CZ$159:$DD$159,0))))),0,IF($CU$122="4%",(INDEX($CS$160:$CW$217,MATCH($DG$122,$CR$160:$CR$217,0),MATCH(D999,$CS$159:$CW$159,0))),(INDEX($CZ$160:$DD$217,MATCH($DG$122,$CY$160:$CY$217,0),MATCH(D999,$CZ$159:$DD$159,0)))))</f>
        <v>868149</v>
      </c>
      <c r="S999" s="1802"/>
      <c r="T999" s="1802"/>
      <c r="U999" s="1802"/>
      <c r="V999" s="1802"/>
      <c r="W999" s="1802"/>
      <c r="X999" s="1802"/>
      <c r="Y999" s="1802"/>
      <c r="Z999" s="1802"/>
      <c r="AA999" s="1802"/>
      <c r="AB999" s="1786">
        <f>DO810+DJ810</f>
        <v>0</v>
      </c>
      <c r="AC999" s="1787"/>
      <c r="AD999" s="1787"/>
      <c r="AE999" s="1787"/>
      <c r="AF999" s="1787"/>
      <c r="AG999" s="1787"/>
      <c r="AH999" s="1787"/>
      <c r="AI999" s="1788"/>
      <c r="AJ999" s="1708">
        <f>IF(ISERROR((R999*AB999)),0,(R999*AB999))</f>
        <v>0</v>
      </c>
      <c r="AK999" s="1709"/>
      <c r="AL999" s="1709"/>
      <c r="AM999" s="1709"/>
      <c r="AN999" s="1709"/>
      <c r="AO999" s="1709"/>
      <c r="AP999" s="1709"/>
      <c r="AQ999" s="1710"/>
      <c r="AR999" s="68"/>
      <c r="AS999" s="68"/>
      <c r="AT999" s="68"/>
      <c r="AU999" s="68"/>
      <c r="AV999" s="68"/>
      <c r="AW999" s="68"/>
      <c r="AX999" s="68"/>
      <c r="AY999" s="68"/>
      <c r="AZ999" s="30"/>
      <c r="BB999" s="14"/>
      <c r="BC999" s="14"/>
    </row>
    <row r="1000" spans="1:55" ht="12.95" customHeight="1">
      <c r="A1000" s="14"/>
      <c r="B1000" s="1751" t="s">
        <v>791</v>
      </c>
      <c r="C1000" s="1752"/>
      <c r="D1000" s="1752"/>
      <c r="E1000" s="1752"/>
      <c r="F1000" s="1752"/>
      <c r="G1000" s="1752"/>
      <c r="H1000" s="1752"/>
      <c r="I1000" s="1752"/>
      <c r="J1000" s="1752"/>
      <c r="K1000" s="1752"/>
      <c r="L1000" s="1752"/>
      <c r="M1000" s="1752"/>
      <c r="N1000" s="1752"/>
      <c r="O1000" s="1752"/>
      <c r="P1000" s="1752"/>
      <c r="Q1000" s="1752"/>
      <c r="R1000" s="1752"/>
      <c r="S1000" s="1752"/>
      <c r="T1000" s="1752"/>
      <c r="U1000" s="1752"/>
      <c r="V1000" s="1752"/>
      <c r="W1000" s="1752"/>
      <c r="X1000" s="1752"/>
      <c r="Y1000" s="1752"/>
      <c r="Z1000" s="1752"/>
      <c r="AA1000" s="1753"/>
      <c r="AB1000" s="1786">
        <f>SUM(AB995:AI999)</f>
        <v>147</v>
      </c>
      <c r="AC1000" s="1787"/>
      <c r="AD1000" s="1787"/>
      <c r="AE1000" s="1787"/>
      <c r="AF1000" s="1787"/>
      <c r="AG1000" s="1787"/>
      <c r="AH1000" s="1787"/>
      <c r="AI1000" s="1788"/>
      <c r="AJ1000" s="1708"/>
      <c r="AK1000" s="1709"/>
      <c r="AL1000" s="1709"/>
      <c r="AM1000" s="1709"/>
      <c r="AN1000" s="1709"/>
      <c r="AO1000" s="1709"/>
      <c r="AP1000" s="1709"/>
      <c r="AQ1000" s="1710"/>
      <c r="AR1000" s="68"/>
      <c r="AS1000" s="68"/>
      <c r="AT1000" s="68"/>
      <c r="AU1000" s="68"/>
      <c r="AV1000" s="68"/>
      <c r="AW1000" s="68"/>
      <c r="AX1000" s="68"/>
      <c r="AY1000" s="68"/>
      <c r="AZ1000" s="34"/>
      <c r="BA1000" s="34"/>
      <c r="BB1000" s="14"/>
      <c r="BC1000" s="14"/>
    </row>
    <row r="1001" spans="1:55" ht="12.95" customHeight="1">
      <c r="A1001" s="14"/>
      <c r="B1001" s="1745" t="s">
        <v>512</v>
      </c>
      <c r="C1001" s="1746"/>
      <c r="D1001" s="1746"/>
      <c r="E1001" s="1746"/>
      <c r="F1001" s="1746"/>
      <c r="G1001" s="1746"/>
      <c r="H1001" s="1746"/>
      <c r="I1001" s="1746"/>
      <c r="J1001" s="1746"/>
      <c r="K1001" s="1746"/>
      <c r="L1001" s="1746"/>
      <c r="M1001" s="1746"/>
      <c r="N1001" s="1746"/>
      <c r="O1001" s="1746"/>
      <c r="P1001" s="1746"/>
      <c r="Q1001" s="1746"/>
      <c r="R1001" s="1746"/>
      <c r="S1001" s="1746"/>
      <c r="T1001" s="1746"/>
      <c r="U1001" s="1746"/>
      <c r="V1001" s="1746"/>
      <c r="W1001" s="1746"/>
      <c r="X1001" s="1746"/>
      <c r="Y1001" s="1746"/>
      <c r="Z1001" s="1746"/>
      <c r="AA1001" s="1746"/>
      <c r="AB1001" s="1746"/>
      <c r="AC1001" s="1746"/>
      <c r="AD1001" s="1746"/>
      <c r="AE1001" s="1746"/>
      <c r="AF1001" s="1746"/>
      <c r="AG1001" s="1746"/>
      <c r="AH1001" s="1746"/>
      <c r="AI1001" s="1747"/>
      <c r="AJ1001" s="1708">
        <f>SUM(AJ995:AQ999)</f>
        <v>85814607</v>
      </c>
      <c r="AK1001" s="1709"/>
      <c r="AL1001" s="1709"/>
      <c r="AM1001" s="1709"/>
      <c r="AN1001" s="1709"/>
      <c r="AO1001" s="1709"/>
      <c r="AP1001" s="1709"/>
      <c r="AQ1001" s="1710"/>
      <c r="AR1001" s="68"/>
      <c r="AS1001" s="68"/>
      <c r="AT1001" s="68"/>
      <c r="AU1001" s="68"/>
      <c r="AV1001" s="68"/>
      <c r="AW1001" s="68"/>
      <c r="AX1001" s="68"/>
      <c r="AY1001" s="68"/>
      <c r="AZ1001" s="34"/>
      <c r="BB1001" s="34"/>
      <c r="BC1001" s="34"/>
    </row>
    <row r="1002" spans="1:55" ht="12.95" customHeight="1">
      <c r="A1002" s="14"/>
      <c r="B1002" s="1742"/>
      <c r="C1002" s="1743"/>
      <c r="D1002" s="1743"/>
      <c r="E1002" s="1743"/>
      <c r="F1002" s="1743"/>
      <c r="G1002" s="1743"/>
      <c r="H1002" s="1743"/>
      <c r="I1002" s="1743"/>
      <c r="J1002" s="1743"/>
      <c r="K1002" s="1743"/>
      <c r="L1002" s="1743"/>
      <c r="M1002" s="1743"/>
      <c r="N1002" s="1743"/>
      <c r="O1002" s="1743"/>
      <c r="P1002" s="1743"/>
      <c r="Q1002" s="1743"/>
      <c r="R1002" s="1743"/>
      <c r="S1002" s="1743"/>
      <c r="T1002" s="1743"/>
      <c r="U1002" s="1743"/>
      <c r="V1002" s="1743"/>
      <c r="W1002" s="1743"/>
      <c r="X1002" s="1743"/>
      <c r="Y1002" s="1743"/>
      <c r="Z1002" s="1743"/>
      <c r="AA1002" s="1743"/>
      <c r="AB1002" s="1743"/>
      <c r="AC1002" s="1743"/>
      <c r="AD1002" s="1743"/>
      <c r="AE1002" s="1744"/>
      <c r="AF1002" s="1770" t="s">
        <v>666</v>
      </c>
      <c r="AG1002" s="1771"/>
      <c r="AH1002" s="1771"/>
      <c r="AI1002" s="1772"/>
      <c r="AJ1002" s="1742"/>
      <c r="AK1002" s="1743"/>
      <c r="AL1002" s="1743"/>
      <c r="AM1002" s="1743"/>
      <c r="AN1002" s="1743"/>
      <c r="AO1002" s="1743"/>
      <c r="AP1002" s="1743"/>
      <c r="AQ1002" s="1744"/>
      <c r="AR1002" s="68"/>
      <c r="AS1002" s="68"/>
      <c r="AT1002" s="68"/>
      <c r="AU1002" s="68"/>
      <c r="AV1002" s="68"/>
      <c r="AW1002" s="68"/>
      <c r="AX1002" s="68"/>
      <c r="AY1002" s="68"/>
      <c r="AZ1002" s="34"/>
      <c r="BA1002" s="34"/>
      <c r="BB1002" s="34"/>
      <c r="BC1002" s="34"/>
    </row>
    <row r="1003" spans="1:55" ht="12.95" customHeight="1">
      <c r="A1003" s="14"/>
      <c r="B1003" s="73"/>
      <c r="C1003" s="923" t="s">
        <v>668</v>
      </c>
      <c r="D1003" s="1748" t="s">
        <v>1219</v>
      </c>
      <c r="E1003" s="1749"/>
      <c r="F1003" s="1749"/>
      <c r="G1003" s="1749"/>
      <c r="H1003" s="1749"/>
      <c r="I1003" s="1749"/>
      <c r="J1003" s="1749"/>
      <c r="K1003" s="1749"/>
      <c r="L1003" s="1749"/>
      <c r="M1003" s="1749"/>
      <c r="N1003" s="1749"/>
      <c r="O1003" s="1749"/>
      <c r="P1003" s="1749"/>
      <c r="Q1003" s="1749"/>
      <c r="R1003" s="1749"/>
      <c r="S1003" s="1749"/>
      <c r="T1003" s="1749"/>
      <c r="U1003" s="1749"/>
      <c r="V1003" s="1749"/>
      <c r="W1003" s="1749"/>
      <c r="X1003" s="1749"/>
      <c r="Y1003" s="1749"/>
      <c r="Z1003" s="1749"/>
      <c r="AA1003" s="1749"/>
      <c r="AB1003" s="1749"/>
      <c r="AC1003" s="1749"/>
      <c r="AD1003" s="1749"/>
      <c r="AE1003" s="1750"/>
      <c r="AF1003" s="79"/>
      <c r="AG1003" s="1773" t="s">
        <v>669</v>
      </c>
      <c r="AH1003" s="1774"/>
      <c r="AI1003" s="87"/>
      <c r="AJ1003" s="1724">
        <f>ROUND(IF(AND(AG1003="yes",D1009&gt;0),AJ1001*0.2,0),0)</f>
        <v>0</v>
      </c>
      <c r="AK1003" s="1725"/>
      <c r="AL1003" s="1725"/>
      <c r="AM1003" s="1725"/>
      <c r="AN1003" s="1725"/>
      <c r="AO1003" s="1725"/>
      <c r="AP1003" s="1725"/>
      <c r="AQ1003" s="1726"/>
      <c r="AR1003" s="68"/>
      <c r="AS1003" s="68"/>
      <c r="AT1003" s="68"/>
      <c r="AU1003" s="68"/>
      <c r="AV1003" s="68"/>
      <c r="AW1003" s="68"/>
      <c r="AX1003" s="68"/>
      <c r="AY1003" s="68"/>
      <c r="AZ1003" s="34"/>
      <c r="BA1003" s="34"/>
      <c r="BB1003" s="34"/>
      <c r="BC1003" s="34"/>
    </row>
    <row r="1004" spans="1:55" ht="12.95" customHeight="1">
      <c r="A1004" s="14"/>
      <c r="B1004" s="257"/>
      <c r="C1004" s="256"/>
      <c r="D1004" s="1815" t="s">
        <v>2189</v>
      </c>
      <c r="E1004" s="1816"/>
      <c r="F1004" s="1816"/>
      <c r="G1004" s="1816"/>
      <c r="H1004" s="1816"/>
      <c r="I1004" s="1816"/>
      <c r="J1004" s="1816"/>
      <c r="K1004" s="1816"/>
      <c r="L1004" s="1816"/>
      <c r="M1004" s="1816"/>
      <c r="N1004" s="1816"/>
      <c r="O1004" s="1816"/>
      <c r="P1004" s="1816"/>
      <c r="Q1004" s="1816"/>
      <c r="R1004" s="1816"/>
      <c r="S1004" s="1816"/>
      <c r="T1004" s="1816"/>
      <c r="U1004" s="1816"/>
      <c r="V1004" s="1816"/>
      <c r="W1004" s="1816"/>
      <c r="X1004" s="1816"/>
      <c r="Y1004" s="1816"/>
      <c r="Z1004" s="1816"/>
      <c r="AA1004" s="1816"/>
      <c r="AB1004" s="1816"/>
      <c r="AC1004" s="1816"/>
      <c r="AD1004" s="1816"/>
      <c r="AE1004" s="1817"/>
      <c r="AF1004" s="73"/>
      <c r="AG1004" s="14"/>
      <c r="AH1004" s="14"/>
      <c r="AI1004" s="83"/>
      <c r="AJ1004" s="1727"/>
      <c r="AK1004" s="1728"/>
      <c r="AL1004" s="1728"/>
      <c r="AM1004" s="1728"/>
      <c r="AN1004" s="1728"/>
      <c r="AO1004" s="1728"/>
      <c r="AP1004" s="1728"/>
      <c r="AQ1004" s="1729"/>
      <c r="AR1004" s="68"/>
      <c r="AS1004" s="68"/>
      <c r="AT1004" s="68"/>
      <c r="AU1004" s="68"/>
      <c r="AV1004" s="68"/>
      <c r="AW1004" s="68"/>
      <c r="AX1004" s="68"/>
      <c r="AY1004" s="68"/>
      <c r="AZ1004" s="34"/>
      <c r="BA1004" s="34"/>
      <c r="BB1004" s="34"/>
      <c r="BC1004" s="34"/>
    </row>
    <row r="1005" spans="1:55" ht="12.95" customHeight="1">
      <c r="A1005" s="14"/>
      <c r="B1005" s="257"/>
      <c r="C1005" s="256"/>
      <c r="D1005" s="1815"/>
      <c r="E1005" s="1816"/>
      <c r="F1005" s="1816"/>
      <c r="G1005" s="1816"/>
      <c r="H1005" s="1816"/>
      <c r="I1005" s="1816"/>
      <c r="J1005" s="1816"/>
      <c r="K1005" s="1816"/>
      <c r="L1005" s="1816"/>
      <c r="M1005" s="1816"/>
      <c r="N1005" s="1816"/>
      <c r="O1005" s="1816"/>
      <c r="P1005" s="1816"/>
      <c r="Q1005" s="1816"/>
      <c r="R1005" s="1816"/>
      <c r="S1005" s="1816"/>
      <c r="T1005" s="1816"/>
      <c r="U1005" s="1816"/>
      <c r="V1005" s="1816"/>
      <c r="W1005" s="1816"/>
      <c r="X1005" s="1816"/>
      <c r="Y1005" s="1816"/>
      <c r="Z1005" s="1816"/>
      <c r="AA1005" s="1816"/>
      <c r="AB1005" s="1816"/>
      <c r="AC1005" s="1816"/>
      <c r="AD1005" s="1816"/>
      <c r="AE1005" s="1817"/>
      <c r="AF1005" s="73"/>
      <c r="AG1005" s="14"/>
      <c r="AH1005" s="14"/>
      <c r="AI1005" s="83"/>
      <c r="AJ1005" s="1727"/>
      <c r="AK1005" s="1728"/>
      <c r="AL1005" s="1728"/>
      <c r="AM1005" s="1728"/>
      <c r="AN1005" s="1728"/>
      <c r="AO1005" s="1728"/>
      <c r="AP1005" s="1728"/>
      <c r="AQ1005" s="1729"/>
      <c r="AR1005" s="68"/>
      <c r="AS1005" s="68"/>
      <c r="AT1005" s="68"/>
      <c r="AU1005" s="68"/>
      <c r="AV1005" s="68"/>
      <c r="AW1005" s="68"/>
      <c r="AX1005" s="68"/>
      <c r="AY1005" s="68"/>
      <c r="AZ1005" s="34"/>
      <c r="BA1005" s="34"/>
      <c r="BB1005" s="34"/>
      <c r="BC1005" s="34"/>
    </row>
    <row r="1006" spans="1:55" ht="12.95" customHeight="1">
      <c r="A1006" s="14"/>
      <c r="B1006" s="257"/>
      <c r="C1006" s="256"/>
      <c r="D1006" s="1815"/>
      <c r="E1006" s="1816"/>
      <c r="F1006" s="1816"/>
      <c r="G1006" s="1816"/>
      <c r="H1006" s="1816"/>
      <c r="I1006" s="1816"/>
      <c r="J1006" s="1816"/>
      <c r="K1006" s="1816"/>
      <c r="L1006" s="1816"/>
      <c r="M1006" s="1816"/>
      <c r="N1006" s="1816"/>
      <c r="O1006" s="1816"/>
      <c r="P1006" s="1816"/>
      <c r="Q1006" s="1816"/>
      <c r="R1006" s="1816"/>
      <c r="S1006" s="1816"/>
      <c r="T1006" s="1816"/>
      <c r="U1006" s="1816"/>
      <c r="V1006" s="1816"/>
      <c r="W1006" s="1816"/>
      <c r="X1006" s="1816"/>
      <c r="Y1006" s="1816"/>
      <c r="Z1006" s="1816"/>
      <c r="AA1006" s="1816"/>
      <c r="AB1006" s="1816"/>
      <c r="AC1006" s="1816"/>
      <c r="AD1006" s="1816"/>
      <c r="AE1006" s="1817"/>
      <c r="AF1006" s="73"/>
      <c r="AG1006" s="14"/>
      <c r="AH1006" s="14"/>
      <c r="AI1006" s="83"/>
      <c r="AJ1006" s="1727"/>
      <c r="AK1006" s="1728"/>
      <c r="AL1006" s="1728"/>
      <c r="AM1006" s="1728"/>
      <c r="AN1006" s="1728"/>
      <c r="AO1006" s="1728"/>
      <c r="AP1006" s="1728"/>
      <c r="AQ1006" s="1729"/>
      <c r="AR1006" s="68"/>
      <c r="AS1006" s="68"/>
      <c r="AT1006" s="68"/>
      <c r="AU1006" s="68"/>
      <c r="AV1006" s="68"/>
      <c r="AW1006" s="68"/>
      <c r="AX1006" s="68"/>
      <c r="AY1006" s="68"/>
      <c r="AZ1006" s="34"/>
      <c r="BA1006" s="34"/>
      <c r="BB1006" s="34"/>
      <c r="BC1006" s="34"/>
    </row>
    <row r="1007" spans="1:55" ht="12.95" customHeight="1">
      <c r="A1007" s="14"/>
      <c r="B1007" s="257"/>
      <c r="C1007" s="256"/>
      <c r="D1007" s="1815"/>
      <c r="E1007" s="1816"/>
      <c r="F1007" s="1816"/>
      <c r="G1007" s="1816"/>
      <c r="H1007" s="1816"/>
      <c r="I1007" s="1816"/>
      <c r="J1007" s="1816"/>
      <c r="K1007" s="1816"/>
      <c r="L1007" s="1816"/>
      <c r="M1007" s="1816"/>
      <c r="N1007" s="1816"/>
      <c r="O1007" s="1816"/>
      <c r="P1007" s="1816"/>
      <c r="Q1007" s="1816"/>
      <c r="R1007" s="1816"/>
      <c r="S1007" s="1816"/>
      <c r="T1007" s="1816"/>
      <c r="U1007" s="1816"/>
      <c r="V1007" s="1816"/>
      <c r="W1007" s="1816"/>
      <c r="X1007" s="1816"/>
      <c r="Y1007" s="1816"/>
      <c r="Z1007" s="1816"/>
      <c r="AA1007" s="1816"/>
      <c r="AB1007" s="1816"/>
      <c r="AC1007" s="1816"/>
      <c r="AD1007" s="1816"/>
      <c r="AE1007" s="1817"/>
      <c r="AF1007" s="73"/>
      <c r="AG1007" s="14"/>
      <c r="AH1007" s="14"/>
      <c r="AI1007" s="83"/>
      <c r="AJ1007" s="1727"/>
      <c r="AK1007" s="1728"/>
      <c r="AL1007" s="1728"/>
      <c r="AM1007" s="1728"/>
      <c r="AN1007" s="1728"/>
      <c r="AO1007" s="1728"/>
      <c r="AP1007" s="1728"/>
      <c r="AQ1007" s="1729"/>
      <c r="AR1007" s="68"/>
      <c r="AS1007" s="68"/>
      <c r="AT1007" s="68"/>
      <c r="AU1007" s="68"/>
      <c r="AV1007" s="68"/>
      <c r="AW1007" s="68"/>
      <c r="AX1007" s="68"/>
      <c r="AY1007" s="68"/>
      <c r="AZ1007" s="34"/>
      <c r="BA1007" s="34"/>
      <c r="BB1007" s="34"/>
      <c r="BC1007" s="34"/>
    </row>
    <row r="1008" spans="1:55" ht="12.95" customHeight="1">
      <c r="A1008" s="14"/>
      <c r="B1008" s="257"/>
      <c r="C1008" s="256"/>
      <c r="D1008" s="1818" t="s">
        <v>2160</v>
      </c>
      <c r="E1008" s="1819"/>
      <c r="F1008" s="1819"/>
      <c r="G1008" s="1819"/>
      <c r="H1008" s="1819"/>
      <c r="I1008" s="1819"/>
      <c r="J1008" s="1819"/>
      <c r="K1008" s="1819"/>
      <c r="L1008" s="1819"/>
      <c r="M1008" s="1819"/>
      <c r="N1008" s="1819"/>
      <c r="O1008" s="1819"/>
      <c r="P1008" s="1819"/>
      <c r="Q1008" s="1819"/>
      <c r="R1008" s="1819"/>
      <c r="S1008" s="1819"/>
      <c r="T1008" s="1819"/>
      <c r="U1008" s="1819"/>
      <c r="V1008" s="1819"/>
      <c r="W1008" s="1819"/>
      <c r="X1008" s="1819"/>
      <c r="Y1008" s="1819"/>
      <c r="Z1008" s="1819"/>
      <c r="AA1008" s="1819"/>
      <c r="AB1008" s="1819"/>
      <c r="AC1008" s="1819"/>
      <c r="AD1008" s="1819"/>
      <c r="AE1008" s="1820"/>
      <c r="AF1008" s="73"/>
      <c r="AG1008" s="14"/>
      <c r="AH1008" s="14"/>
      <c r="AI1008" s="83"/>
      <c r="AJ1008" s="1727"/>
      <c r="AK1008" s="1728"/>
      <c r="AL1008" s="1728"/>
      <c r="AM1008" s="1728"/>
      <c r="AN1008" s="1728"/>
      <c r="AO1008" s="1728"/>
      <c r="AP1008" s="1728"/>
      <c r="AQ1008" s="1729"/>
      <c r="AR1008" s="68"/>
      <c r="AS1008" s="68"/>
      <c r="AT1008" s="68"/>
      <c r="AU1008" s="68"/>
      <c r="AV1008" s="68"/>
      <c r="AW1008" s="68"/>
      <c r="AX1008" s="68"/>
      <c r="AY1008" s="68"/>
      <c r="AZ1008" s="34"/>
      <c r="BA1008" s="34"/>
      <c r="BB1008" s="34"/>
      <c r="BC1008" s="34"/>
    </row>
    <row r="1009" spans="1:55" ht="12.95" customHeight="1">
      <c r="A1009" s="14"/>
      <c r="B1009" s="257"/>
      <c r="C1009" s="256"/>
      <c r="D1009" s="1812"/>
      <c r="E1009" s="1813"/>
      <c r="F1009" s="1813"/>
      <c r="G1009" s="1813"/>
      <c r="H1009" s="1813"/>
      <c r="I1009" s="1813"/>
      <c r="J1009" s="1813"/>
      <c r="K1009" s="1813"/>
      <c r="L1009" s="1813"/>
      <c r="M1009" s="1813"/>
      <c r="N1009" s="1813"/>
      <c r="O1009" s="1813"/>
      <c r="P1009" s="1813"/>
      <c r="Q1009" s="1813"/>
      <c r="R1009" s="1813"/>
      <c r="S1009" s="1813"/>
      <c r="T1009" s="1813"/>
      <c r="U1009" s="1813"/>
      <c r="V1009" s="1813"/>
      <c r="W1009" s="1813"/>
      <c r="X1009" s="1813"/>
      <c r="Y1009" s="1813"/>
      <c r="Z1009" s="1813"/>
      <c r="AA1009" s="1813"/>
      <c r="AB1009" s="1813"/>
      <c r="AC1009" s="1813"/>
      <c r="AD1009" s="1813"/>
      <c r="AE1009" s="1814"/>
      <c r="AF1009" s="77"/>
      <c r="AG1009" s="7"/>
      <c r="AH1009" s="7"/>
      <c r="AI1009" s="78"/>
      <c r="AJ1009" s="1739"/>
      <c r="AK1009" s="1740"/>
      <c r="AL1009" s="1740"/>
      <c r="AM1009" s="1740"/>
      <c r="AN1009" s="1740"/>
      <c r="AO1009" s="1740"/>
      <c r="AP1009" s="1740"/>
      <c r="AQ1009" s="1741"/>
      <c r="AR1009" s="68"/>
      <c r="AS1009" s="68"/>
      <c r="AT1009" s="68"/>
      <c r="AU1009" s="68"/>
      <c r="AV1009" s="68"/>
      <c r="AW1009" s="68"/>
      <c r="AX1009" s="68"/>
      <c r="AY1009" s="68"/>
      <c r="AZ1009" s="34"/>
      <c r="BA1009" s="34"/>
      <c r="BB1009" s="34"/>
      <c r="BC1009" s="34"/>
    </row>
    <row r="1010" spans="1:55" ht="12.95" customHeight="1">
      <c r="A1010" s="14"/>
      <c r="B1010" s="255"/>
      <c r="C1010" s="318"/>
      <c r="D1010" s="1730" t="s">
        <v>1285</v>
      </c>
      <c r="E1010" s="1731"/>
      <c r="F1010" s="1731"/>
      <c r="G1010" s="1731"/>
      <c r="H1010" s="1731"/>
      <c r="I1010" s="1731"/>
      <c r="J1010" s="1731"/>
      <c r="K1010" s="1731"/>
      <c r="L1010" s="1731"/>
      <c r="M1010" s="1731"/>
      <c r="N1010" s="1731"/>
      <c r="O1010" s="1731"/>
      <c r="P1010" s="1731"/>
      <c r="Q1010" s="1731"/>
      <c r="R1010" s="1731"/>
      <c r="S1010" s="1731"/>
      <c r="T1010" s="1731"/>
      <c r="U1010" s="1731"/>
      <c r="V1010" s="1731"/>
      <c r="W1010" s="1731"/>
      <c r="X1010" s="1731"/>
      <c r="Y1010" s="1731"/>
      <c r="Z1010" s="1731"/>
      <c r="AA1010" s="1731"/>
      <c r="AB1010" s="1731"/>
      <c r="AC1010" s="1731"/>
      <c r="AD1010" s="1731"/>
      <c r="AE1010" s="1732"/>
      <c r="AF1010" s="79"/>
      <c r="AG1010" s="1759" t="s">
        <v>669</v>
      </c>
      <c r="AH1010" s="1760"/>
      <c r="AI1010" s="87"/>
      <c r="AJ1010" s="1724">
        <f>ROUND(IF(AG1010="yes",AJ1001*0.05,0),0)</f>
        <v>0</v>
      </c>
      <c r="AK1010" s="1725"/>
      <c r="AL1010" s="1725"/>
      <c r="AM1010" s="1725"/>
      <c r="AN1010" s="1725"/>
      <c r="AO1010" s="1725"/>
      <c r="AP1010" s="1725"/>
      <c r="AQ1010" s="1726"/>
      <c r="AR1010" s="68"/>
      <c r="AS1010" s="68"/>
      <c r="AT1010" s="68"/>
      <c r="AU1010" s="68"/>
      <c r="AV1010" s="68"/>
      <c r="AW1010" s="68"/>
      <c r="AX1010" s="68"/>
      <c r="AY1010" s="68"/>
      <c r="AZ1010" s="34"/>
      <c r="BA1010" s="34"/>
      <c r="BB1010" s="34"/>
      <c r="BC1010" s="34"/>
    </row>
    <row r="1011" spans="1:55" ht="12.95" customHeight="1">
      <c r="A1011" s="14"/>
      <c r="B1011" s="257"/>
      <c r="C1011" s="82"/>
      <c r="D1011" s="1815" t="s">
        <v>1283</v>
      </c>
      <c r="E1011" s="1816"/>
      <c r="F1011" s="1816"/>
      <c r="G1011" s="1816"/>
      <c r="H1011" s="1816"/>
      <c r="I1011" s="1816"/>
      <c r="J1011" s="1816"/>
      <c r="K1011" s="1816"/>
      <c r="L1011" s="1816"/>
      <c r="M1011" s="1816"/>
      <c r="N1011" s="1816"/>
      <c r="O1011" s="1816"/>
      <c r="P1011" s="1816"/>
      <c r="Q1011" s="1816"/>
      <c r="R1011" s="1816"/>
      <c r="S1011" s="1816"/>
      <c r="T1011" s="1816"/>
      <c r="U1011" s="1816"/>
      <c r="V1011" s="1816"/>
      <c r="W1011" s="1816"/>
      <c r="X1011" s="1816"/>
      <c r="Y1011" s="1816"/>
      <c r="Z1011" s="1816"/>
      <c r="AA1011" s="1816"/>
      <c r="AB1011" s="1816"/>
      <c r="AC1011" s="1816"/>
      <c r="AD1011" s="1816"/>
      <c r="AE1011" s="1817"/>
      <c r="AF1011" s="73"/>
      <c r="AG1011" s="14"/>
      <c r="AH1011" s="14"/>
      <c r="AI1011" s="83"/>
      <c r="AJ1011" s="1727"/>
      <c r="AK1011" s="1728"/>
      <c r="AL1011" s="1728"/>
      <c r="AM1011" s="1728"/>
      <c r="AN1011" s="1728"/>
      <c r="AO1011" s="1728"/>
      <c r="AP1011" s="1728"/>
      <c r="AQ1011" s="1729"/>
      <c r="AR1011" s="68"/>
      <c r="AS1011" s="68"/>
      <c r="AT1011" s="68"/>
      <c r="AU1011" s="68"/>
      <c r="AV1011" s="68"/>
      <c r="AW1011" s="68"/>
      <c r="AX1011" s="68"/>
      <c r="AY1011" s="34"/>
      <c r="AZ1011" s="34"/>
      <c r="BB1011" s="34"/>
    </row>
    <row r="1012" spans="1:55" ht="12.95" customHeight="1">
      <c r="A1012" s="14"/>
      <c r="B1012" s="257"/>
      <c r="C1012" s="82"/>
      <c r="D1012" s="1815"/>
      <c r="E1012" s="1816"/>
      <c r="F1012" s="1816"/>
      <c r="G1012" s="1816"/>
      <c r="H1012" s="1816"/>
      <c r="I1012" s="1816"/>
      <c r="J1012" s="1816"/>
      <c r="K1012" s="1816"/>
      <c r="L1012" s="1816"/>
      <c r="M1012" s="1816"/>
      <c r="N1012" s="1816"/>
      <c r="O1012" s="1816"/>
      <c r="P1012" s="1816"/>
      <c r="Q1012" s="1816"/>
      <c r="R1012" s="1816"/>
      <c r="S1012" s="1816"/>
      <c r="T1012" s="1816"/>
      <c r="U1012" s="1816"/>
      <c r="V1012" s="1816"/>
      <c r="W1012" s="1816"/>
      <c r="X1012" s="1816"/>
      <c r="Y1012" s="1816"/>
      <c r="Z1012" s="1816"/>
      <c r="AA1012" s="1816"/>
      <c r="AB1012" s="1816"/>
      <c r="AC1012" s="1816"/>
      <c r="AD1012" s="1816"/>
      <c r="AE1012" s="1817"/>
      <c r="AF1012" s="73"/>
      <c r="AG1012" s="14"/>
      <c r="AH1012" s="14"/>
      <c r="AI1012" s="83"/>
      <c r="AJ1012" s="1727"/>
      <c r="AK1012" s="1728"/>
      <c r="AL1012" s="1728"/>
      <c r="AM1012" s="1728"/>
      <c r="AN1012" s="1728"/>
      <c r="AO1012" s="1728"/>
      <c r="AP1012" s="1728"/>
      <c r="AQ1012" s="1729"/>
      <c r="AR1012" s="68"/>
      <c r="AS1012" s="68"/>
      <c r="AT1012" s="68"/>
      <c r="AU1012" s="68"/>
      <c r="AV1012" s="68"/>
      <c r="AW1012" s="68"/>
      <c r="AX1012" s="68"/>
      <c r="AY1012" s="910">
        <f>G761+O805</f>
        <v>146</v>
      </c>
      <c r="AZ1012" s="34"/>
      <c r="BB1012" s="34"/>
    </row>
    <row r="1013" spans="1:55" ht="12.95" customHeight="1">
      <c r="A1013" s="14"/>
      <c r="B1013" s="257"/>
      <c r="C1013" s="82"/>
      <c r="D1013" s="1815"/>
      <c r="E1013" s="1816"/>
      <c r="F1013" s="1816"/>
      <c r="G1013" s="1816"/>
      <c r="H1013" s="1816"/>
      <c r="I1013" s="1816"/>
      <c r="J1013" s="1816"/>
      <c r="K1013" s="1816"/>
      <c r="L1013" s="1816"/>
      <c r="M1013" s="1816"/>
      <c r="N1013" s="1816"/>
      <c r="O1013" s="1816"/>
      <c r="P1013" s="1816"/>
      <c r="Q1013" s="1816"/>
      <c r="R1013" s="1816"/>
      <c r="S1013" s="1816"/>
      <c r="T1013" s="1816"/>
      <c r="U1013" s="1816"/>
      <c r="V1013" s="1816"/>
      <c r="W1013" s="1816"/>
      <c r="X1013" s="1816"/>
      <c r="Y1013" s="1816"/>
      <c r="Z1013" s="1816"/>
      <c r="AA1013" s="1816"/>
      <c r="AB1013" s="1816"/>
      <c r="AC1013" s="1816"/>
      <c r="AD1013" s="1816"/>
      <c r="AE1013" s="1817"/>
      <c r="AF1013" s="73"/>
      <c r="AG1013" s="14"/>
      <c r="AH1013" s="14"/>
      <c r="AI1013" s="83"/>
      <c r="AJ1013" s="1727"/>
      <c r="AK1013" s="1728"/>
      <c r="AL1013" s="1728"/>
      <c r="AM1013" s="1728"/>
      <c r="AN1013" s="1728"/>
      <c r="AO1013" s="1728"/>
      <c r="AP1013" s="1728"/>
      <c r="AQ1013" s="1729"/>
      <c r="AR1013" s="68"/>
      <c r="AS1013" s="68"/>
      <c r="AT1013" s="68"/>
      <c r="AU1013" s="68"/>
      <c r="AV1013" s="68"/>
      <c r="AW1013" s="68"/>
      <c r="AX1013" s="68"/>
      <c r="AY1013" s="14"/>
      <c r="AZ1013" s="34"/>
      <c r="BB1013" s="34"/>
    </row>
    <row r="1014" spans="1:55" ht="12.95" customHeight="1">
      <c r="A1014" s="14"/>
      <c r="B1014" s="257"/>
      <c r="C1014" s="82"/>
      <c r="D1014" s="1815"/>
      <c r="E1014" s="1816"/>
      <c r="F1014" s="1816"/>
      <c r="G1014" s="1816"/>
      <c r="H1014" s="1816"/>
      <c r="I1014" s="1816"/>
      <c r="J1014" s="1816"/>
      <c r="K1014" s="1816"/>
      <c r="L1014" s="1816"/>
      <c r="M1014" s="1816"/>
      <c r="N1014" s="1816"/>
      <c r="O1014" s="1816"/>
      <c r="P1014" s="1816"/>
      <c r="Q1014" s="1816"/>
      <c r="R1014" s="1816"/>
      <c r="S1014" s="1816"/>
      <c r="T1014" s="1816"/>
      <c r="U1014" s="1816"/>
      <c r="V1014" s="1816"/>
      <c r="W1014" s="1816"/>
      <c r="X1014" s="1816"/>
      <c r="Y1014" s="1816"/>
      <c r="Z1014" s="1816"/>
      <c r="AA1014" s="1816"/>
      <c r="AB1014" s="1816"/>
      <c r="AC1014" s="1816"/>
      <c r="AD1014" s="1816"/>
      <c r="AE1014" s="1817"/>
      <c r="AF1014" s="73"/>
      <c r="AG1014" s="14"/>
      <c r="AH1014" s="14"/>
      <c r="AI1014" s="83"/>
      <c r="AJ1014" s="1727"/>
      <c r="AK1014" s="1728"/>
      <c r="AL1014" s="1728"/>
      <c r="AM1014" s="1728"/>
      <c r="AN1014" s="1728"/>
      <c r="AO1014" s="1728"/>
      <c r="AP1014" s="1728"/>
      <c r="AQ1014" s="1729"/>
      <c r="AR1014" s="68"/>
      <c r="AS1014" s="68"/>
      <c r="AT1014" s="68"/>
      <c r="AU1014" s="68"/>
      <c r="AV1014" s="68"/>
      <c r="AW1014" s="68"/>
      <c r="AX1014" s="68"/>
      <c r="AY1014" s="909">
        <f>ROUNDDOWN(X1057/I1057,2)</f>
        <v>0</v>
      </c>
      <c r="AZ1014" s="34"/>
      <c r="BB1014" s="34"/>
    </row>
    <row r="1015" spans="1:55" ht="12.95" customHeight="1">
      <c r="A1015" s="14"/>
      <c r="B1015" s="75"/>
      <c r="C1015" s="76"/>
      <c r="D1015" s="1818"/>
      <c r="E1015" s="1819"/>
      <c r="F1015" s="1819"/>
      <c r="G1015" s="1819"/>
      <c r="H1015" s="1819"/>
      <c r="I1015" s="1819"/>
      <c r="J1015" s="1819"/>
      <c r="K1015" s="1819"/>
      <c r="L1015" s="1819"/>
      <c r="M1015" s="1819"/>
      <c r="N1015" s="1819"/>
      <c r="O1015" s="1819"/>
      <c r="P1015" s="1819"/>
      <c r="Q1015" s="1819"/>
      <c r="R1015" s="1819"/>
      <c r="S1015" s="1819"/>
      <c r="T1015" s="1819"/>
      <c r="U1015" s="1819"/>
      <c r="V1015" s="1819"/>
      <c r="W1015" s="1819"/>
      <c r="X1015" s="1819"/>
      <c r="Y1015" s="1819"/>
      <c r="Z1015" s="1819"/>
      <c r="AA1015" s="1819"/>
      <c r="AB1015" s="1819"/>
      <c r="AC1015" s="1819"/>
      <c r="AD1015" s="1819"/>
      <c r="AE1015" s="1820"/>
      <c r="AF1015" s="77"/>
      <c r="AG1015" s="7"/>
      <c r="AH1015" s="7"/>
      <c r="AI1015" s="78"/>
      <c r="AJ1015" s="1739"/>
      <c r="AK1015" s="1740"/>
      <c r="AL1015" s="1740"/>
      <c r="AM1015" s="1740"/>
      <c r="AN1015" s="1740"/>
      <c r="AO1015" s="1740"/>
      <c r="AP1015" s="1740"/>
      <c r="AQ1015" s="1741"/>
      <c r="AR1015" s="68"/>
      <c r="AS1015" s="68"/>
      <c r="AT1015" s="68"/>
      <c r="AU1015" s="68"/>
      <c r="AV1015" s="68"/>
      <c r="AW1015" s="68"/>
      <c r="AX1015" s="68"/>
      <c r="AY1015" s="909">
        <f>ROUNDDOWN(X1061/I1061,2)</f>
        <v>0.23</v>
      </c>
      <c r="AZ1015" s="34"/>
      <c r="BB1015" s="34"/>
    </row>
    <row r="1016" spans="1:55" ht="12.95" customHeight="1">
      <c r="A1016" s="14"/>
      <c r="B1016" s="255"/>
      <c r="C1016" s="80" t="s">
        <v>672</v>
      </c>
      <c r="D1016" s="1730" t="s">
        <v>1671</v>
      </c>
      <c r="E1016" s="1731"/>
      <c r="F1016" s="1731"/>
      <c r="G1016" s="1731"/>
      <c r="H1016" s="1731"/>
      <c r="I1016" s="1731"/>
      <c r="J1016" s="1731"/>
      <c r="K1016" s="1731"/>
      <c r="L1016" s="1731"/>
      <c r="M1016" s="1731"/>
      <c r="N1016" s="1731"/>
      <c r="O1016" s="1731"/>
      <c r="P1016" s="1731"/>
      <c r="Q1016" s="1731"/>
      <c r="R1016" s="1731"/>
      <c r="S1016" s="1731"/>
      <c r="T1016" s="1731"/>
      <c r="U1016" s="1731"/>
      <c r="V1016" s="1731"/>
      <c r="W1016" s="1731"/>
      <c r="X1016" s="1731"/>
      <c r="Y1016" s="1731"/>
      <c r="Z1016" s="1731"/>
      <c r="AA1016" s="1731"/>
      <c r="AB1016" s="1731"/>
      <c r="AC1016" s="1731"/>
      <c r="AD1016" s="1731"/>
      <c r="AE1016" s="1732"/>
      <c r="AF1016" s="86"/>
      <c r="AG1016" s="1759" t="s">
        <v>669</v>
      </c>
      <c r="AH1016" s="1760"/>
      <c r="AI1016" s="87"/>
      <c r="AJ1016" s="1724">
        <f>ROUND(IF(AG1016="yes",AJ1001*0.1,0),0)</f>
        <v>0</v>
      </c>
      <c r="AK1016" s="1725"/>
      <c r="AL1016" s="1725"/>
      <c r="AM1016" s="1725"/>
      <c r="AN1016" s="1725"/>
      <c r="AO1016" s="1725"/>
      <c r="AP1016" s="1725"/>
      <c r="AQ1016" s="1726"/>
      <c r="AR1016" s="68"/>
      <c r="AS1016" s="68"/>
      <c r="AT1016" s="68"/>
      <c r="AU1016" s="68"/>
      <c r="AV1016" s="68"/>
      <c r="AW1016" s="68"/>
      <c r="AX1016" s="68"/>
      <c r="BB1016" s="34"/>
    </row>
    <row r="1017" spans="1:55" ht="12.95" customHeight="1">
      <c r="A1017" s="14"/>
      <c r="B1017" s="73"/>
      <c r="C1017" s="74"/>
      <c r="D1017" s="1733" t="s">
        <v>1284</v>
      </c>
      <c r="E1017" s="1734"/>
      <c r="F1017" s="1734"/>
      <c r="G1017" s="1734"/>
      <c r="H1017" s="1734"/>
      <c r="I1017" s="1734"/>
      <c r="J1017" s="1734"/>
      <c r="K1017" s="1734"/>
      <c r="L1017" s="1734"/>
      <c r="M1017" s="1734"/>
      <c r="N1017" s="1734"/>
      <c r="O1017" s="1734"/>
      <c r="P1017" s="1734"/>
      <c r="Q1017" s="1734"/>
      <c r="R1017" s="1734"/>
      <c r="S1017" s="1734"/>
      <c r="T1017" s="1734"/>
      <c r="U1017" s="1734"/>
      <c r="V1017" s="1734"/>
      <c r="W1017" s="1734"/>
      <c r="X1017" s="1734"/>
      <c r="Y1017" s="1734"/>
      <c r="Z1017" s="1734"/>
      <c r="AA1017" s="1734"/>
      <c r="AB1017" s="1734"/>
      <c r="AC1017" s="1734"/>
      <c r="AD1017" s="1734"/>
      <c r="AE1017" s="1735"/>
      <c r="AF1017" s="73"/>
      <c r="AI1017" s="83"/>
      <c r="AJ1017" s="1727"/>
      <c r="AK1017" s="1728"/>
      <c r="AL1017" s="1728"/>
      <c r="AM1017" s="1728"/>
      <c r="AN1017" s="1728"/>
      <c r="AO1017" s="1728"/>
      <c r="AP1017" s="1728"/>
      <c r="AQ1017" s="1729"/>
      <c r="AR1017" s="68"/>
      <c r="AS1017" s="68"/>
      <c r="AT1017" s="68"/>
      <c r="AU1017" s="68"/>
      <c r="AV1017" s="68"/>
      <c r="AW1017" s="68"/>
      <c r="AX1017" s="68"/>
    </row>
    <row r="1018" spans="1:55" ht="12.95" customHeight="1">
      <c r="A1018" s="14"/>
      <c r="B1018" s="73"/>
      <c r="C1018" s="74"/>
      <c r="D1018" s="1733"/>
      <c r="E1018" s="1734"/>
      <c r="F1018" s="1734"/>
      <c r="G1018" s="1734"/>
      <c r="H1018" s="1734"/>
      <c r="I1018" s="1734"/>
      <c r="J1018" s="1734"/>
      <c r="K1018" s="1734"/>
      <c r="L1018" s="1734"/>
      <c r="M1018" s="1734"/>
      <c r="N1018" s="1734"/>
      <c r="O1018" s="1734"/>
      <c r="P1018" s="1734"/>
      <c r="Q1018" s="1734"/>
      <c r="R1018" s="1734"/>
      <c r="S1018" s="1734"/>
      <c r="T1018" s="1734"/>
      <c r="U1018" s="1734"/>
      <c r="V1018" s="1734"/>
      <c r="W1018" s="1734"/>
      <c r="X1018" s="1734"/>
      <c r="Y1018" s="1734"/>
      <c r="Z1018" s="1734"/>
      <c r="AA1018" s="1734"/>
      <c r="AB1018" s="1734"/>
      <c r="AC1018" s="1734"/>
      <c r="AD1018" s="1734"/>
      <c r="AE1018" s="1735"/>
      <c r="AF1018" s="73"/>
      <c r="AG1018" s="14"/>
      <c r="AH1018" s="14"/>
      <c r="AI1018" s="83"/>
      <c r="AJ1018" s="1727"/>
      <c r="AK1018" s="1728"/>
      <c r="AL1018" s="1728"/>
      <c r="AM1018" s="1728"/>
      <c r="AN1018" s="1728"/>
      <c r="AO1018" s="1728"/>
      <c r="AP1018" s="1728"/>
      <c r="AQ1018" s="1729"/>
      <c r="AR1018" s="68"/>
      <c r="AS1018" s="68"/>
      <c r="AT1018" s="68"/>
      <c r="AU1018" s="68"/>
      <c r="AV1018" s="68"/>
      <c r="AW1018" s="68"/>
      <c r="AX1018" s="68"/>
    </row>
    <row r="1019" spans="1:55" ht="12.95" customHeight="1">
      <c r="A1019" s="14"/>
      <c r="B1019" s="85"/>
      <c r="C1019" s="76"/>
      <c r="D1019" s="1736"/>
      <c r="E1019" s="1737"/>
      <c r="F1019" s="1737"/>
      <c r="G1019" s="1737"/>
      <c r="H1019" s="1737"/>
      <c r="I1019" s="1737"/>
      <c r="J1019" s="1737"/>
      <c r="K1019" s="1737"/>
      <c r="L1019" s="1737"/>
      <c r="M1019" s="1737"/>
      <c r="N1019" s="1737"/>
      <c r="O1019" s="1737"/>
      <c r="P1019" s="1737"/>
      <c r="Q1019" s="1737"/>
      <c r="R1019" s="1737"/>
      <c r="S1019" s="1737"/>
      <c r="T1019" s="1737"/>
      <c r="U1019" s="1737"/>
      <c r="V1019" s="1737"/>
      <c r="W1019" s="1737"/>
      <c r="X1019" s="1737"/>
      <c r="Y1019" s="1737"/>
      <c r="Z1019" s="1737"/>
      <c r="AA1019" s="1737"/>
      <c r="AB1019" s="1737"/>
      <c r="AC1019" s="1737"/>
      <c r="AD1019" s="1737"/>
      <c r="AE1019" s="1738"/>
      <c r="AF1019" s="77"/>
      <c r="AG1019" s="7"/>
      <c r="AH1019" s="7"/>
      <c r="AI1019" s="78"/>
      <c r="AJ1019" s="1739"/>
      <c r="AK1019" s="1740"/>
      <c r="AL1019" s="1740"/>
      <c r="AM1019" s="1740"/>
      <c r="AN1019" s="1740"/>
      <c r="AO1019" s="1740"/>
      <c r="AP1019" s="1740"/>
      <c r="AQ1019" s="1741"/>
      <c r="AR1019" s="68"/>
      <c r="AS1019" s="68"/>
      <c r="AT1019" s="68"/>
      <c r="AU1019" s="68"/>
      <c r="AV1019" s="68"/>
      <c r="AW1019" s="68"/>
      <c r="AX1019" s="68"/>
    </row>
    <row r="1020" spans="1:55" ht="12.95" customHeight="1">
      <c r="A1020" s="14"/>
      <c r="B1020" s="79"/>
      <c r="C1020" s="80" t="s">
        <v>212</v>
      </c>
      <c r="D1020" s="1730" t="s">
        <v>1286</v>
      </c>
      <c r="E1020" s="1731"/>
      <c r="F1020" s="1731"/>
      <c r="G1020" s="1731"/>
      <c r="H1020" s="1731"/>
      <c r="I1020" s="1731"/>
      <c r="J1020" s="1731"/>
      <c r="K1020" s="1731"/>
      <c r="L1020" s="1731"/>
      <c r="M1020" s="1731"/>
      <c r="N1020" s="1731"/>
      <c r="O1020" s="1731"/>
      <c r="P1020" s="1731"/>
      <c r="Q1020" s="1731"/>
      <c r="R1020" s="1731"/>
      <c r="S1020" s="1731"/>
      <c r="T1020" s="1731"/>
      <c r="U1020" s="1731"/>
      <c r="V1020" s="1731"/>
      <c r="W1020" s="1731"/>
      <c r="X1020" s="1731"/>
      <c r="Y1020" s="1731"/>
      <c r="Z1020" s="1731"/>
      <c r="AA1020" s="1731"/>
      <c r="AB1020" s="1731"/>
      <c r="AC1020" s="1731"/>
      <c r="AD1020" s="1731"/>
      <c r="AE1020" s="1732"/>
      <c r="AF1020" s="79"/>
      <c r="AG1020" s="1759" t="s">
        <v>669</v>
      </c>
      <c r="AH1020" s="1760"/>
      <c r="AI1020" s="87"/>
      <c r="AJ1020" s="1724">
        <f>ROUND(IF(AG1020="yes",AJ1001*0.02,0),0)</f>
        <v>0</v>
      </c>
      <c r="AK1020" s="1725"/>
      <c r="AL1020" s="1725"/>
      <c r="AM1020" s="1725"/>
      <c r="AN1020" s="1725"/>
      <c r="AO1020" s="1725"/>
      <c r="AP1020" s="1725"/>
      <c r="AQ1020" s="1726"/>
      <c r="AR1020" s="68"/>
      <c r="AS1020" s="68"/>
      <c r="AT1020" s="68"/>
      <c r="AU1020" s="68"/>
      <c r="AV1020" s="68"/>
      <c r="AW1020" s="68"/>
      <c r="AX1020" s="68"/>
    </row>
    <row r="1021" spans="1:55" ht="14.25" customHeight="1">
      <c r="A1021" s="14"/>
      <c r="B1021" s="73"/>
      <c r="C1021" s="74"/>
      <c r="D1021" s="1736" t="s">
        <v>1287</v>
      </c>
      <c r="E1021" s="1737"/>
      <c r="F1021" s="1737"/>
      <c r="G1021" s="1737"/>
      <c r="H1021" s="1737"/>
      <c r="I1021" s="1737"/>
      <c r="J1021" s="1737"/>
      <c r="K1021" s="1737"/>
      <c r="L1021" s="1737"/>
      <c r="M1021" s="1737"/>
      <c r="N1021" s="1737"/>
      <c r="O1021" s="1737"/>
      <c r="P1021" s="1737"/>
      <c r="Q1021" s="1737"/>
      <c r="R1021" s="1737"/>
      <c r="S1021" s="1737"/>
      <c r="T1021" s="1737"/>
      <c r="U1021" s="1737"/>
      <c r="V1021" s="1737"/>
      <c r="W1021" s="1737"/>
      <c r="X1021" s="1737"/>
      <c r="Y1021" s="1737"/>
      <c r="Z1021" s="1737"/>
      <c r="AA1021" s="1737"/>
      <c r="AB1021" s="1737"/>
      <c r="AC1021" s="1737"/>
      <c r="AD1021" s="1737"/>
      <c r="AE1021" s="1738"/>
      <c r="AF1021" s="77"/>
      <c r="AG1021" s="7"/>
      <c r="AH1021" s="7"/>
      <c r="AI1021" s="78"/>
      <c r="AJ1021" s="1739"/>
      <c r="AK1021" s="1740"/>
      <c r="AL1021" s="1740"/>
      <c r="AM1021" s="1740"/>
      <c r="AN1021" s="1740"/>
      <c r="AO1021" s="1740"/>
      <c r="AP1021" s="1740"/>
      <c r="AQ1021" s="1741"/>
      <c r="AR1021" s="68"/>
      <c r="AS1021" s="68"/>
      <c r="AT1021" s="68"/>
      <c r="AU1021" s="68"/>
      <c r="AV1021" s="68"/>
      <c r="AW1021" s="68"/>
      <c r="AX1021" s="3" t="s">
        <v>1817</v>
      </c>
      <c r="AZ1021" s="3" t="s">
        <v>2533</v>
      </c>
    </row>
    <row r="1022" spans="1:55" ht="12.95" customHeight="1">
      <c r="A1022" s="14"/>
      <c r="B1022" s="79"/>
      <c r="C1022" s="80" t="s">
        <v>215</v>
      </c>
      <c r="D1022" s="1730" t="s">
        <v>1288</v>
      </c>
      <c r="E1022" s="1731"/>
      <c r="F1022" s="1731"/>
      <c r="G1022" s="1731"/>
      <c r="H1022" s="1731"/>
      <c r="I1022" s="1731"/>
      <c r="J1022" s="1731"/>
      <c r="K1022" s="1731"/>
      <c r="L1022" s="1731"/>
      <c r="M1022" s="1731"/>
      <c r="N1022" s="1731"/>
      <c r="O1022" s="1731"/>
      <c r="P1022" s="1731"/>
      <c r="Q1022" s="1731"/>
      <c r="R1022" s="1731"/>
      <c r="S1022" s="1731"/>
      <c r="T1022" s="1731"/>
      <c r="U1022" s="1731"/>
      <c r="V1022" s="1731"/>
      <c r="W1022" s="1731"/>
      <c r="X1022" s="1731"/>
      <c r="Y1022" s="1731"/>
      <c r="Z1022" s="1731"/>
      <c r="AA1022" s="1731"/>
      <c r="AB1022" s="1731"/>
      <c r="AC1022" s="1731"/>
      <c r="AD1022" s="1731"/>
      <c r="AE1022" s="1732"/>
      <c r="AF1022" s="79"/>
      <c r="AG1022" s="1759" t="s">
        <v>669</v>
      </c>
      <c r="AH1022" s="1760"/>
      <c r="AI1022" s="79"/>
      <c r="AJ1022" s="1724">
        <f>ROUND(IF(AG1022="yes",AJ1001*0.02,0),0)</f>
        <v>0</v>
      </c>
      <c r="AK1022" s="1725"/>
      <c r="AL1022" s="1725"/>
      <c r="AM1022" s="1725"/>
      <c r="AN1022" s="1725"/>
      <c r="AO1022" s="1725"/>
      <c r="AP1022" s="1725"/>
      <c r="AQ1022" s="1726"/>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33" t="s">
        <v>1289</v>
      </c>
      <c r="E1023" s="1734"/>
      <c r="F1023" s="1734"/>
      <c r="G1023" s="1734"/>
      <c r="H1023" s="1734"/>
      <c r="I1023" s="1734"/>
      <c r="J1023" s="1734"/>
      <c r="K1023" s="1734"/>
      <c r="L1023" s="1734"/>
      <c r="M1023" s="1734"/>
      <c r="N1023" s="1734"/>
      <c r="O1023" s="1734"/>
      <c r="P1023" s="1734"/>
      <c r="Q1023" s="1734"/>
      <c r="R1023" s="1734"/>
      <c r="S1023" s="1734"/>
      <c r="T1023" s="1734"/>
      <c r="U1023" s="1734"/>
      <c r="V1023" s="1734"/>
      <c r="W1023" s="1734"/>
      <c r="X1023" s="1734"/>
      <c r="Y1023" s="1734"/>
      <c r="Z1023" s="1734"/>
      <c r="AA1023" s="1734"/>
      <c r="AB1023" s="1734"/>
      <c r="AC1023" s="1734"/>
      <c r="AD1023" s="1734"/>
      <c r="AE1023" s="1735"/>
      <c r="AF1023" s="1860" t="str">
        <f>IF(AND(AG1022="yes",T212&lt;&gt;1),"The project may not be eligible for this boost","")</f>
        <v/>
      </c>
      <c r="AG1023" s="1861"/>
      <c r="AH1023" s="1861"/>
      <c r="AI1023" s="1862"/>
      <c r="AJ1023" s="1727"/>
      <c r="AK1023" s="1728"/>
      <c r="AL1023" s="1728"/>
      <c r="AM1023" s="1728"/>
      <c r="AN1023" s="1728"/>
      <c r="AO1023" s="1728"/>
      <c r="AP1023" s="1728"/>
      <c r="AQ1023" s="1729"/>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36"/>
      <c r="E1024" s="1737"/>
      <c r="F1024" s="1737"/>
      <c r="G1024" s="1737"/>
      <c r="H1024" s="1737"/>
      <c r="I1024" s="1737"/>
      <c r="J1024" s="1737"/>
      <c r="K1024" s="1737"/>
      <c r="L1024" s="1737"/>
      <c r="M1024" s="1737"/>
      <c r="N1024" s="1737"/>
      <c r="O1024" s="1737"/>
      <c r="P1024" s="1737"/>
      <c r="Q1024" s="1737"/>
      <c r="R1024" s="1737"/>
      <c r="S1024" s="1737"/>
      <c r="T1024" s="1737"/>
      <c r="U1024" s="1737"/>
      <c r="V1024" s="1737"/>
      <c r="W1024" s="1737"/>
      <c r="X1024" s="1737"/>
      <c r="Y1024" s="1737"/>
      <c r="Z1024" s="1737"/>
      <c r="AA1024" s="1737"/>
      <c r="AB1024" s="1737"/>
      <c r="AC1024" s="1737"/>
      <c r="AD1024" s="1737"/>
      <c r="AE1024" s="1738"/>
      <c r="AF1024" s="1863"/>
      <c r="AG1024" s="1864"/>
      <c r="AH1024" s="1864"/>
      <c r="AI1024" s="1865"/>
      <c r="AJ1024" s="1739"/>
      <c r="AK1024" s="1740"/>
      <c r="AL1024" s="1740"/>
      <c r="AM1024" s="1740"/>
      <c r="AN1024" s="1740"/>
      <c r="AO1024" s="1740"/>
      <c r="AP1024" s="1740"/>
      <c r="AQ1024" s="1741"/>
      <c r="AR1024" s="68"/>
      <c r="AS1024" s="68"/>
      <c r="AT1024" s="68"/>
      <c r="AU1024" s="68"/>
      <c r="AV1024" s="68"/>
      <c r="AW1024" s="68"/>
      <c r="AX1024" s="3">
        <v>3</v>
      </c>
      <c r="AY1024" s="200">
        <f t="shared" si="55"/>
        <v>0</v>
      </c>
      <c r="AZ1024" s="1189">
        <v>0.05</v>
      </c>
    </row>
    <row r="1025" spans="1:52" ht="12.95" customHeight="1">
      <c r="A1025" s="14"/>
      <c r="B1025" s="79"/>
      <c r="C1025" s="80" t="s">
        <v>218</v>
      </c>
      <c r="D1025" s="1748" t="s">
        <v>2190</v>
      </c>
      <c r="E1025" s="1749"/>
      <c r="F1025" s="1749"/>
      <c r="G1025" s="1749"/>
      <c r="H1025" s="1749"/>
      <c r="I1025" s="1749"/>
      <c r="J1025" s="1749"/>
      <c r="K1025" s="1749"/>
      <c r="L1025" s="1749"/>
      <c r="M1025" s="1749"/>
      <c r="N1025" s="1749"/>
      <c r="O1025" s="1749"/>
      <c r="P1025" s="1749"/>
      <c r="Q1025" s="1749"/>
      <c r="R1025" s="1749"/>
      <c r="S1025" s="1749"/>
      <c r="T1025" s="1749"/>
      <c r="U1025" s="1749"/>
      <c r="V1025" s="1749"/>
      <c r="W1025" s="1749"/>
      <c r="X1025" s="1749"/>
      <c r="Y1025" s="1749"/>
      <c r="Z1025" s="1749"/>
      <c r="AA1025" s="1749"/>
      <c r="AB1025" s="1749"/>
      <c r="AC1025" s="1749"/>
      <c r="AD1025" s="1749"/>
      <c r="AE1025" s="1750"/>
      <c r="AF1025" s="79"/>
      <c r="AG1025" s="1759" t="s">
        <v>669</v>
      </c>
      <c r="AH1025" s="1760"/>
      <c r="AI1025" s="87"/>
      <c r="AJ1025" s="1724">
        <f>IF(AG1025="yes",AJ1001*AY1033,0)</f>
        <v>0</v>
      </c>
      <c r="AK1025" s="1725"/>
      <c r="AL1025" s="1725"/>
      <c r="AM1025" s="1725"/>
      <c r="AN1025" s="1725"/>
      <c r="AO1025" s="1725"/>
      <c r="AP1025" s="1725"/>
      <c r="AQ1025" s="1726"/>
      <c r="AR1025" s="68"/>
      <c r="AS1025" s="68"/>
      <c r="AT1025" s="68"/>
      <c r="AU1025" s="68"/>
      <c r="AV1025" s="68"/>
      <c r="AW1025" s="68"/>
      <c r="AX1025" s="3">
        <v>4</v>
      </c>
      <c r="AY1025" s="200">
        <f t="shared" si="55"/>
        <v>0</v>
      </c>
      <c r="AZ1025" s="1189">
        <v>0.02</v>
      </c>
    </row>
    <row r="1026" spans="1:52" ht="12.95" customHeight="1">
      <c r="A1026" s="14"/>
      <c r="B1026" s="73"/>
      <c r="C1026" s="74"/>
      <c r="D1026" s="1733" t="s">
        <v>2599</v>
      </c>
      <c r="E1026" s="1734"/>
      <c r="F1026" s="1734"/>
      <c r="G1026" s="1734"/>
      <c r="H1026" s="1734"/>
      <c r="I1026" s="1734"/>
      <c r="J1026" s="1734"/>
      <c r="K1026" s="1734"/>
      <c r="L1026" s="1734"/>
      <c r="M1026" s="1734"/>
      <c r="N1026" s="1734"/>
      <c r="O1026" s="1734"/>
      <c r="P1026" s="1734"/>
      <c r="Q1026" s="1734"/>
      <c r="R1026" s="1734"/>
      <c r="S1026" s="1734"/>
      <c r="T1026" s="1734"/>
      <c r="U1026" s="1734"/>
      <c r="V1026" s="1734"/>
      <c r="W1026" s="1734"/>
      <c r="X1026" s="1734"/>
      <c r="Y1026" s="1734"/>
      <c r="Z1026" s="1734"/>
      <c r="AA1026" s="1734"/>
      <c r="AB1026" s="1734"/>
      <c r="AC1026" s="1734"/>
      <c r="AD1026" s="1734"/>
      <c r="AE1026" s="1735"/>
      <c r="AF1026" s="1854" t="str">
        <f>IF(AND(AG1025="Yes",AY1033=0),AY1036,"")</f>
        <v/>
      </c>
      <c r="AG1026" s="1855"/>
      <c r="AH1026" s="1855"/>
      <c r="AI1026" s="1856"/>
      <c r="AJ1026" s="1727"/>
      <c r="AK1026" s="1728"/>
      <c r="AL1026" s="1728"/>
      <c r="AM1026" s="1728"/>
      <c r="AN1026" s="1728"/>
      <c r="AO1026" s="1728"/>
      <c r="AP1026" s="1728"/>
      <c r="AQ1026" s="1729"/>
      <c r="AR1026" s="68"/>
      <c r="AS1026" s="68"/>
      <c r="AT1026" s="68"/>
      <c r="AU1026" s="68"/>
      <c r="AV1026" s="68"/>
      <c r="AW1026" s="68"/>
      <c r="AX1026" s="3">
        <v>5</v>
      </c>
      <c r="AY1026" s="200">
        <f t="shared" si="55"/>
        <v>0</v>
      </c>
      <c r="AZ1026" s="1189">
        <v>0.04</v>
      </c>
    </row>
    <row r="1027" spans="1:52" ht="12.95" customHeight="1">
      <c r="A1027" s="14"/>
      <c r="B1027" s="73"/>
      <c r="C1027" s="74"/>
      <c r="D1027" s="1733"/>
      <c r="E1027" s="1734"/>
      <c r="F1027" s="1734"/>
      <c r="G1027" s="1734"/>
      <c r="H1027" s="1734"/>
      <c r="I1027" s="1734"/>
      <c r="J1027" s="1734"/>
      <c r="K1027" s="1734"/>
      <c r="L1027" s="1734"/>
      <c r="M1027" s="1734"/>
      <c r="N1027" s="1734"/>
      <c r="O1027" s="1734"/>
      <c r="P1027" s="1734"/>
      <c r="Q1027" s="1734"/>
      <c r="R1027" s="1734"/>
      <c r="S1027" s="1734"/>
      <c r="T1027" s="1734"/>
      <c r="U1027" s="1734"/>
      <c r="V1027" s="1734"/>
      <c r="W1027" s="1734"/>
      <c r="X1027" s="1734"/>
      <c r="Y1027" s="1734"/>
      <c r="Z1027" s="1734"/>
      <c r="AA1027" s="1734"/>
      <c r="AB1027" s="1734"/>
      <c r="AC1027" s="1734"/>
      <c r="AD1027" s="1734"/>
      <c r="AE1027" s="1735"/>
      <c r="AF1027" s="1854"/>
      <c r="AG1027" s="1855"/>
      <c r="AH1027" s="1855"/>
      <c r="AI1027" s="1856"/>
      <c r="AJ1027" s="1727"/>
      <c r="AK1027" s="1728"/>
      <c r="AL1027" s="1728"/>
      <c r="AM1027" s="1728"/>
      <c r="AN1027" s="1728"/>
      <c r="AO1027" s="1728"/>
      <c r="AP1027" s="1728"/>
      <c r="AQ1027" s="1729"/>
      <c r="AR1027" s="68"/>
      <c r="AS1027" s="68"/>
      <c r="AT1027" s="68"/>
      <c r="AU1027" s="68"/>
      <c r="AV1027" s="68"/>
      <c r="AW1027" s="68"/>
      <c r="AX1027" s="3">
        <v>6</v>
      </c>
      <c r="AY1027" s="200">
        <f t="shared" si="55"/>
        <v>0</v>
      </c>
      <c r="AZ1027" s="1189">
        <v>0.04</v>
      </c>
    </row>
    <row r="1028" spans="1:52" ht="12.95" customHeight="1">
      <c r="A1028" s="14"/>
      <c r="B1028" s="81"/>
      <c r="C1028" s="82"/>
      <c r="D1028" s="1736"/>
      <c r="E1028" s="1737"/>
      <c r="F1028" s="1737"/>
      <c r="G1028" s="1737"/>
      <c r="H1028" s="1737"/>
      <c r="I1028" s="1737"/>
      <c r="J1028" s="1737"/>
      <c r="K1028" s="1737"/>
      <c r="L1028" s="1737"/>
      <c r="M1028" s="1737"/>
      <c r="N1028" s="1737"/>
      <c r="O1028" s="1737"/>
      <c r="P1028" s="1737"/>
      <c r="Q1028" s="1737"/>
      <c r="R1028" s="1737"/>
      <c r="S1028" s="1737"/>
      <c r="T1028" s="1737"/>
      <c r="U1028" s="1737"/>
      <c r="V1028" s="1737"/>
      <c r="W1028" s="1737"/>
      <c r="X1028" s="1737"/>
      <c r="Y1028" s="1737"/>
      <c r="Z1028" s="1737"/>
      <c r="AA1028" s="1737"/>
      <c r="AB1028" s="1737"/>
      <c r="AC1028" s="1737"/>
      <c r="AD1028" s="1737"/>
      <c r="AE1028" s="1738"/>
      <c r="AF1028" s="1857"/>
      <c r="AG1028" s="1858"/>
      <c r="AH1028" s="1858"/>
      <c r="AI1028" s="1859"/>
      <c r="AJ1028" s="1739"/>
      <c r="AK1028" s="1740"/>
      <c r="AL1028" s="1740"/>
      <c r="AM1028" s="1740"/>
      <c r="AN1028" s="1740"/>
      <c r="AO1028" s="1740"/>
      <c r="AP1028" s="1740"/>
      <c r="AQ1028" s="1741"/>
      <c r="AR1028" s="68"/>
      <c r="AS1028" s="68"/>
      <c r="AT1028" s="68"/>
      <c r="AU1028" s="68"/>
      <c r="AV1028" s="68"/>
      <c r="AW1028" s="68"/>
      <c r="AX1028" s="3">
        <v>7</v>
      </c>
      <c r="AY1028" s="200">
        <f t="shared" si="55"/>
        <v>0</v>
      </c>
      <c r="AZ1028" s="1189">
        <v>0.01</v>
      </c>
    </row>
    <row r="1029" spans="1:52" ht="12.95" customHeight="1">
      <c r="A1029" s="14"/>
      <c r="B1029" s="79"/>
      <c r="C1029" s="80" t="s">
        <v>223</v>
      </c>
      <c r="D1029" s="1780" t="s">
        <v>1290</v>
      </c>
      <c r="E1029" s="1781"/>
      <c r="F1029" s="1781"/>
      <c r="G1029" s="1781"/>
      <c r="H1029" s="1781"/>
      <c r="I1029" s="1781"/>
      <c r="J1029" s="1781"/>
      <c r="K1029" s="1781"/>
      <c r="L1029" s="1781"/>
      <c r="M1029" s="1781"/>
      <c r="N1029" s="1781"/>
      <c r="O1029" s="1781"/>
      <c r="P1029" s="1781"/>
      <c r="Q1029" s="1781"/>
      <c r="R1029" s="1781"/>
      <c r="S1029" s="1781"/>
      <c r="T1029" s="1781"/>
      <c r="U1029" s="1781"/>
      <c r="V1029" s="1781"/>
      <c r="W1029" s="1781"/>
      <c r="X1029" s="1781"/>
      <c r="Y1029" s="1781"/>
      <c r="Z1029" s="1781"/>
      <c r="AA1029" s="1781"/>
      <c r="AB1029" s="1781"/>
      <c r="AC1029" s="1781"/>
      <c r="AD1029" s="1781"/>
      <c r="AE1029" s="1782"/>
      <c r="AF1029" s="79"/>
      <c r="AG1029" s="1759" t="s">
        <v>669</v>
      </c>
      <c r="AH1029" s="1760"/>
      <c r="AI1029" s="87"/>
      <c r="AJ1029" s="1724">
        <f>ROUND(IF(AND(AG1029="Yes",J1033&lt;&gt;"N/A",AF1032&lt;&gt;""),MIN(AF1032,(0.15*AJ1001)),0),0)</f>
        <v>0</v>
      </c>
      <c r="AK1029" s="1725"/>
      <c r="AL1029" s="1725"/>
      <c r="AM1029" s="1725"/>
      <c r="AN1029" s="1725"/>
      <c r="AO1029" s="1725"/>
      <c r="AP1029" s="1725"/>
      <c r="AQ1029" s="1726"/>
      <c r="AR1029" s="68"/>
      <c r="AS1029" s="68"/>
      <c r="AT1029" s="68"/>
      <c r="AU1029" s="68"/>
      <c r="AV1029" s="68"/>
      <c r="AW1029" s="68"/>
      <c r="AX1029" s="3">
        <v>8</v>
      </c>
      <c r="AY1029" s="200">
        <f t="shared" si="55"/>
        <v>0</v>
      </c>
      <c r="AZ1029" s="1189">
        <v>0.01</v>
      </c>
    </row>
    <row r="1030" spans="1:52" ht="12.95" customHeight="1">
      <c r="A1030" s="14"/>
      <c r="B1030" s="81"/>
      <c r="C1030" s="84"/>
      <c r="D1030" s="1783"/>
      <c r="E1030" s="1784"/>
      <c r="F1030" s="1784"/>
      <c r="G1030" s="1784"/>
      <c r="H1030" s="1784"/>
      <c r="I1030" s="1784"/>
      <c r="J1030" s="1784"/>
      <c r="K1030" s="1784"/>
      <c r="L1030" s="1784"/>
      <c r="M1030" s="1784"/>
      <c r="N1030" s="1784"/>
      <c r="O1030" s="1784"/>
      <c r="P1030" s="1784"/>
      <c r="Q1030" s="1784"/>
      <c r="R1030" s="1784"/>
      <c r="S1030" s="1784"/>
      <c r="T1030" s="1784"/>
      <c r="U1030" s="1784"/>
      <c r="V1030" s="1784"/>
      <c r="W1030" s="1784"/>
      <c r="X1030" s="1784"/>
      <c r="Y1030" s="1784"/>
      <c r="Z1030" s="1784"/>
      <c r="AA1030" s="1784"/>
      <c r="AB1030" s="1784"/>
      <c r="AC1030" s="1784"/>
      <c r="AD1030" s="1784"/>
      <c r="AE1030" s="1785"/>
      <c r="AF1030" s="1806" t="str">
        <f>IF(AG1029="yes","Please Select Type and Enter Amount:","")</f>
        <v/>
      </c>
      <c r="AG1030" s="1807"/>
      <c r="AH1030" s="1807"/>
      <c r="AI1030" s="1808"/>
      <c r="AJ1030" s="1727"/>
      <c r="AK1030" s="1728"/>
      <c r="AL1030" s="1728"/>
      <c r="AM1030" s="1728"/>
      <c r="AN1030" s="1728"/>
      <c r="AO1030" s="1728"/>
      <c r="AP1030" s="1728"/>
      <c r="AQ1030" s="1729"/>
      <c r="AR1030" s="68"/>
      <c r="AS1030" s="68"/>
      <c r="AT1030" s="68"/>
      <c r="AU1030" s="68"/>
      <c r="AV1030" s="68"/>
      <c r="AW1030" s="68"/>
      <c r="AX1030" s="3">
        <v>9</v>
      </c>
      <c r="AY1030" s="200">
        <f t="shared" si="55"/>
        <v>0</v>
      </c>
      <c r="AZ1030" s="1189">
        <v>0.01</v>
      </c>
    </row>
    <row r="1031" spans="1:52" ht="12.95" customHeight="1">
      <c r="A1031" s="14"/>
      <c r="B1031" s="81"/>
      <c r="C1031" s="84"/>
      <c r="D1031" s="1733" t="s">
        <v>1291</v>
      </c>
      <c r="E1031" s="1734"/>
      <c r="F1031" s="1734"/>
      <c r="G1031" s="1734"/>
      <c r="H1031" s="1734"/>
      <c r="I1031" s="1734"/>
      <c r="J1031" s="1734"/>
      <c r="K1031" s="1734"/>
      <c r="L1031" s="1734"/>
      <c r="M1031" s="1734"/>
      <c r="N1031" s="1734"/>
      <c r="O1031" s="1734"/>
      <c r="P1031" s="1734"/>
      <c r="Q1031" s="1734"/>
      <c r="R1031" s="1734"/>
      <c r="S1031" s="1734"/>
      <c r="T1031" s="1734"/>
      <c r="U1031" s="1734"/>
      <c r="V1031" s="1734"/>
      <c r="W1031" s="1734"/>
      <c r="X1031" s="1734"/>
      <c r="Y1031" s="1734"/>
      <c r="Z1031" s="1734"/>
      <c r="AA1031" s="1734"/>
      <c r="AB1031" s="1734"/>
      <c r="AC1031" s="1734"/>
      <c r="AD1031" s="1734"/>
      <c r="AE1031" s="1735"/>
      <c r="AF1031" s="1806"/>
      <c r="AG1031" s="1807"/>
      <c r="AH1031" s="1807"/>
      <c r="AI1031" s="1808"/>
      <c r="AJ1031" s="1727"/>
      <c r="AK1031" s="1728"/>
      <c r="AL1031" s="1728"/>
      <c r="AM1031" s="1728"/>
      <c r="AN1031" s="1728"/>
      <c r="AO1031" s="1728"/>
      <c r="AP1031" s="1728"/>
      <c r="AQ1031" s="1729"/>
      <c r="AR1031" s="68"/>
      <c r="AS1031" s="68"/>
      <c r="AT1031" s="68"/>
      <c r="AU1031" s="68"/>
      <c r="AV1031" s="68"/>
      <c r="AW1031" s="68"/>
      <c r="AX1031" s="3">
        <v>10</v>
      </c>
      <c r="AY1031" s="200">
        <f t="shared" si="55"/>
        <v>0</v>
      </c>
      <c r="AZ1031" s="1189">
        <v>0.02</v>
      </c>
    </row>
    <row r="1032" spans="1:52" ht="12.95" customHeight="1">
      <c r="A1032" s="14"/>
      <c r="B1032" s="81"/>
      <c r="C1032" s="84"/>
      <c r="D1032" s="1733"/>
      <c r="E1032" s="1734"/>
      <c r="F1032" s="1734"/>
      <c r="G1032" s="1734"/>
      <c r="H1032" s="1734"/>
      <c r="I1032" s="1734"/>
      <c r="J1032" s="1734"/>
      <c r="K1032" s="1734"/>
      <c r="L1032" s="1734"/>
      <c r="M1032" s="1734"/>
      <c r="N1032" s="1734"/>
      <c r="O1032" s="1734"/>
      <c r="P1032" s="1734"/>
      <c r="Q1032" s="1734"/>
      <c r="R1032" s="1734"/>
      <c r="S1032" s="1734"/>
      <c r="T1032" s="1734"/>
      <c r="U1032" s="1734"/>
      <c r="V1032" s="1734"/>
      <c r="W1032" s="1734"/>
      <c r="X1032" s="1734"/>
      <c r="Y1032" s="1734"/>
      <c r="Z1032" s="1734"/>
      <c r="AA1032" s="1734"/>
      <c r="AB1032" s="1734"/>
      <c r="AC1032" s="1734"/>
      <c r="AD1032" s="1734"/>
      <c r="AE1032" s="1735"/>
      <c r="AF1032" s="1801"/>
      <c r="AG1032" s="1801"/>
      <c r="AH1032" s="1801"/>
      <c r="AI1032" s="1801"/>
      <c r="AJ1032" s="1727"/>
      <c r="AK1032" s="1728"/>
      <c r="AL1032" s="1728"/>
      <c r="AM1032" s="1728"/>
      <c r="AN1032" s="1728"/>
      <c r="AO1032" s="1728"/>
      <c r="AP1032" s="1728"/>
      <c r="AQ1032" s="1729"/>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850" t="s">
        <v>591</v>
      </c>
      <c r="K1033" s="1851"/>
      <c r="L1033" s="1851"/>
      <c r="M1033" s="1851"/>
      <c r="N1033" s="1851"/>
      <c r="O1033" s="1851"/>
      <c r="P1033" s="1851"/>
      <c r="Q1033" s="1851"/>
      <c r="R1033" s="1851"/>
      <c r="S1033" s="1851"/>
      <c r="T1033" s="1851"/>
      <c r="U1033" s="1851"/>
      <c r="V1033" s="1851"/>
      <c r="W1033" s="1851"/>
      <c r="X1033" s="1851"/>
      <c r="Y1033" s="1851"/>
      <c r="Z1033" s="1851"/>
      <c r="AA1033" s="1851"/>
      <c r="AB1033" s="1851"/>
      <c r="AC1033" s="1851"/>
      <c r="AD1033" s="1851"/>
      <c r="AE1033" s="1852"/>
      <c r="AF1033" s="1801"/>
      <c r="AG1033" s="1801"/>
      <c r="AH1033" s="1801"/>
      <c r="AI1033" s="1801"/>
      <c r="AJ1033" s="1739"/>
      <c r="AK1033" s="1740"/>
      <c r="AL1033" s="1740"/>
      <c r="AM1033" s="1740"/>
      <c r="AN1033" s="1740"/>
      <c r="AO1033" s="1740"/>
      <c r="AP1033" s="1740"/>
      <c r="AQ1033" s="1741"/>
      <c r="AR1033" s="68"/>
      <c r="AS1033" s="68"/>
      <c r="AT1033" s="68"/>
      <c r="AU1033" s="68"/>
      <c r="AV1033" s="68"/>
      <c r="AW1033" s="68"/>
      <c r="AX1033" s="1027" t="s">
        <v>2532</v>
      </c>
      <c r="AY1033" s="201">
        <f>IF(SUM(AY1022:AY1032)&lt;=0.2,SUM(AY1022:AY1032),0.2)</f>
        <v>0</v>
      </c>
    </row>
    <row r="1034" spans="1:52" ht="12.95" customHeight="1">
      <c r="A1034" s="14"/>
      <c r="B1034" s="79"/>
      <c r="C1034" s="80" t="s">
        <v>229</v>
      </c>
      <c r="D1034" s="1730" t="s">
        <v>1292</v>
      </c>
      <c r="E1034" s="1731"/>
      <c r="F1034" s="1731"/>
      <c r="G1034" s="1731"/>
      <c r="H1034" s="1731"/>
      <c r="I1034" s="1731"/>
      <c r="J1034" s="1731"/>
      <c r="K1034" s="1731"/>
      <c r="L1034" s="1731"/>
      <c r="M1034" s="1731"/>
      <c r="N1034" s="1731"/>
      <c r="O1034" s="1731"/>
      <c r="P1034" s="1731"/>
      <c r="Q1034" s="1731"/>
      <c r="R1034" s="1731"/>
      <c r="S1034" s="1731"/>
      <c r="T1034" s="1731"/>
      <c r="U1034" s="1731"/>
      <c r="V1034" s="1731"/>
      <c r="W1034" s="1731"/>
      <c r="X1034" s="1731"/>
      <c r="Y1034" s="1731"/>
      <c r="Z1034" s="1731"/>
      <c r="AA1034" s="1731"/>
      <c r="AB1034" s="1731"/>
      <c r="AC1034" s="1731"/>
      <c r="AD1034" s="1731"/>
      <c r="AE1034" s="1732"/>
      <c r="AF1034" s="79"/>
      <c r="AG1034" s="1759" t="s">
        <v>669</v>
      </c>
      <c r="AH1034" s="1760"/>
      <c r="AI1034" s="87"/>
      <c r="AJ1034" s="1724">
        <f>ROUND(IF(AG1034="Yes",AF1036,0),0)</f>
        <v>0</v>
      </c>
      <c r="AK1034" s="1725"/>
      <c r="AL1034" s="1725"/>
      <c r="AM1034" s="1725"/>
      <c r="AN1034" s="1725"/>
      <c r="AO1034" s="1725"/>
      <c r="AP1034" s="1725"/>
      <c r="AQ1034" s="1726"/>
      <c r="AR1034" s="68"/>
      <c r="AS1034" s="68"/>
      <c r="AT1034" s="68"/>
      <c r="AU1034" s="68"/>
      <c r="AV1034" s="68"/>
      <c r="AW1034" s="68"/>
      <c r="AX1034" s="68"/>
      <c r="AY1034" s="68"/>
    </row>
    <row r="1035" spans="1:52" ht="12.95" customHeight="1">
      <c r="A1035" s="14"/>
      <c r="B1035" s="73"/>
      <c r="C1035" s="74"/>
      <c r="D1035" s="1733" t="s">
        <v>1678</v>
      </c>
      <c r="E1035" s="1734"/>
      <c r="F1035" s="1734"/>
      <c r="G1035" s="1734"/>
      <c r="H1035" s="1734"/>
      <c r="I1035" s="1734"/>
      <c r="J1035" s="1734"/>
      <c r="K1035" s="1734"/>
      <c r="L1035" s="1734"/>
      <c r="M1035" s="1734"/>
      <c r="N1035" s="1734"/>
      <c r="O1035" s="1734"/>
      <c r="P1035" s="1734"/>
      <c r="Q1035" s="1734"/>
      <c r="R1035" s="1734"/>
      <c r="S1035" s="1734"/>
      <c r="T1035" s="1734"/>
      <c r="U1035" s="1734"/>
      <c r="V1035" s="1734"/>
      <c r="W1035" s="1734"/>
      <c r="X1035" s="1734"/>
      <c r="Y1035" s="1734"/>
      <c r="Z1035" s="1734"/>
      <c r="AA1035" s="1734"/>
      <c r="AB1035" s="1734"/>
      <c r="AC1035" s="1734"/>
      <c r="AD1035" s="1734"/>
      <c r="AE1035" s="1735"/>
      <c r="AF1035" s="1789" t="str">
        <f>IF(AG1034="yes","Enter Amount:","")</f>
        <v/>
      </c>
      <c r="AG1035" s="1790"/>
      <c r="AH1035" s="1790"/>
      <c r="AI1035" s="1791"/>
      <c r="AJ1035" s="1727"/>
      <c r="AK1035" s="1728"/>
      <c r="AL1035" s="1728"/>
      <c r="AM1035" s="1728"/>
      <c r="AN1035" s="1728"/>
      <c r="AO1035" s="1728"/>
      <c r="AP1035" s="1728"/>
      <c r="AQ1035" s="1729"/>
      <c r="AR1035" s="68"/>
      <c r="AS1035" s="68"/>
      <c r="AT1035" s="68"/>
      <c r="AU1035" s="68"/>
      <c r="AV1035" s="68"/>
      <c r="AW1035" s="68"/>
      <c r="AX1035" s="68"/>
      <c r="AY1035" s="68"/>
    </row>
    <row r="1036" spans="1:52" ht="12.95" customHeight="1">
      <c r="A1036" s="14"/>
      <c r="B1036" s="73"/>
      <c r="C1036" s="74"/>
      <c r="D1036" s="1733"/>
      <c r="E1036" s="1734"/>
      <c r="F1036" s="1734"/>
      <c r="G1036" s="1734"/>
      <c r="H1036" s="1734"/>
      <c r="I1036" s="1734"/>
      <c r="J1036" s="1734"/>
      <c r="K1036" s="1734"/>
      <c r="L1036" s="1734"/>
      <c r="M1036" s="1734"/>
      <c r="N1036" s="1734"/>
      <c r="O1036" s="1734"/>
      <c r="P1036" s="1734"/>
      <c r="Q1036" s="1734"/>
      <c r="R1036" s="1734"/>
      <c r="S1036" s="1734"/>
      <c r="T1036" s="1734"/>
      <c r="U1036" s="1734"/>
      <c r="V1036" s="1734"/>
      <c r="W1036" s="1734"/>
      <c r="X1036" s="1734"/>
      <c r="Y1036" s="1734"/>
      <c r="Z1036" s="1734"/>
      <c r="AA1036" s="1734"/>
      <c r="AB1036" s="1734"/>
      <c r="AC1036" s="1734"/>
      <c r="AD1036" s="1734"/>
      <c r="AE1036" s="1735"/>
      <c r="AF1036" s="1801"/>
      <c r="AG1036" s="1801"/>
      <c r="AH1036" s="1801"/>
      <c r="AI1036" s="1801"/>
      <c r="AJ1036" s="1727"/>
      <c r="AK1036" s="1728"/>
      <c r="AL1036" s="1728"/>
      <c r="AM1036" s="1728"/>
      <c r="AN1036" s="1728"/>
      <c r="AO1036" s="1728"/>
      <c r="AP1036" s="1728"/>
      <c r="AQ1036" s="1729"/>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36"/>
      <c r="E1037" s="1737"/>
      <c r="F1037" s="1737"/>
      <c r="G1037" s="1737"/>
      <c r="H1037" s="1737"/>
      <c r="I1037" s="1737"/>
      <c r="J1037" s="1737"/>
      <c r="K1037" s="1737"/>
      <c r="L1037" s="1737"/>
      <c r="M1037" s="1737"/>
      <c r="N1037" s="1737"/>
      <c r="O1037" s="1737"/>
      <c r="P1037" s="1737"/>
      <c r="Q1037" s="1737"/>
      <c r="R1037" s="1737"/>
      <c r="S1037" s="1737"/>
      <c r="T1037" s="1737"/>
      <c r="U1037" s="1737"/>
      <c r="V1037" s="1737"/>
      <c r="W1037" s="1737"/>
      <c r="X1037" s="1737"/>
      <c r="Y1037" s="1737"/>
      <c r="Z1037" s="1737"/>
      <c r="AA1037" s="1737"/>
      <c r="AB1037" s="1737"/>
      <c r="AC1037" s="1737"/>
      <c r="AD1037" s="1737"/>
      <c r="AE1037" s="1738"/>
      <c r="AF1037" s="1801"/>
      <c r="AG1037" s="1801"/>
      <c r="AH1037" s="1801"/>
      <c r="AI1037" s="1801"/>
      <c r="AJ1037" s="1739"/>
      <c r="AK1037" s="1740"/>
      <c r="AL1037" s="1740"/>
      <c r="AM1037" s="1740"/>
      <c r="AN1037" s="1740"/>
      <c r="AO1037" s="1740"/>
      <c r="AP1037" s="1740"/>
      <c r="AQ1037" s="1741"/>
      <c r="AR1037" s="68"/>
      <c r="AS1037" s="68"/>
      <c r="AT1037" s="68"/>
      <c r="AU1037" s="68"/>
      <c r="AV1037" s="68"/>
      <c r="AW1037" s="68"/>
      <c r="AX1037" s="68"/>
      <c r="AY1037" s="68"/>
    </row>
    <row r="1038" spans="1:52" ht="12.95" customHeight="1">
      <c r="A1038" s="14"/>
      <c r="B1038" s="79"/>
      <c r="C1038" s="80" t="s">
        <v>234</v>
      </c>
      <c r="D1038" s="1748" t="s">
        <v>1293</v>
      </c>
      <c r="E1038" s="1749"/>
      <c r="F1038" s="1749"/>
      <c r="G1038" s="1749"/>
      <c r="H1038" s="1749"/>
      <c r="I1038" s="1749"/>
      <c r="J1038" s="1749"/>
      <c r="K1038" s="1749"/>
      <c r="L1038" s="1749"/>
      <c r="M1038" s="1749"/>
      <c r="N1038" s="1749"/>
      <c r="O1038" s="1749"/>
      <c r="P1038" s="1749"/>
      <c r="Q1038" s="1749"/>
      <c r="R1038" s="1749"/>
      <c r="S1038" s="1749"/>
      <c r="T1038" s="1749"/>
      <c r="U1038" s="1749"/>
      <c r="V1038" s="1749"/>
      <c r="W1038" s="1749"/>
      <c r="X1038" s="1749"/>
      <c r="Y1038" s="1749"/>
      <c r="Z1038" s="1749"/>
      <c r="AA1038" s="1749"/>
      <c r="AB1038" s="1749"/>
      <c r="AC1038" s="1749"/>
      <c r="AD1038" s="1749"/>
      <c r="AE1038" s="1750"/>
      <c r="AF1038" s="79"/>
      <c r="AG1038" s="1759" t="s">
        <v>545</v>
      </c>
      <c r="AH1038" s="1760"/>
      <c r="AI1038" s="87"/>
      <c r="AJ1038" s="1724">
        <f>ROUND(IF(AG1038="yes",(AJ1001*0.1),0),0)</f>
        <v>8581461</v>
      </c>
      <c r="AK1038" s="1725"/>
      <c r="AL1038" s="1725"/>
      <c r="AM1038" s="1725"/>
      <c r="AN1038" s="1725"/>
      <c r="AO1038" s="1725"/>
      <c r="AP1038" s="1725"/>
      <c r="AQ1038" s="1726"/>
      <c r="AR1038" s="68"/>
      <c r="AS1038" s="68"/>
      <c r="AT1038" s="68"/>
      <c r="AU1038" s="68"/>
      <c r="AV1038" s="68"/>
      <c r="AW1038" s="68"/>
      <c r="AX1038" s="68"/>
      <c r="AY1038" s="68"/>
    </row>
    <row r="1039" spans="1:52" ht="12.95" customHeight="1">
      <c r="A1039" s="14"/>
      <c r="B1039" s="73"/>
      <c r="C1039" s="74"/>
      <c r="D1039" s="1733" t="s">
        <v>1294</v>
      </c>
      <c r="E1039" s="1734"/>
      <c r="F1039" s="1734"/>
      <c r="G1039" s="1734"/>
      <c r="H1039" s="1734"/>
      <c r="I1039" s="1734"/>
      <c r="J1039" s="1734"/>
      <c r="K1039" s="1734"/>
      <c r="L1039" s="1734"/>
      <c r="M1039" s="1734"/>
      <c r="N1039" s="1734"/>
      <c r="O1039" s="1734"/>
      <c r="P1039" s="1734"/>
      <c r="Q1039" s="1734"/>
      <c r="R1039" s="1734"/>
      <c r="S1039" s="1734"/>
      <c r="T1039" s="1734"/>
      <c r="U1039" s="1734"/>
      <c r="V1039" s="1734"/>
      <c r="W1039" s="1734"/>
      <c r="X1039" s="1734"/>
      <c r="Y1039" s="1734"/>
      <c r="Z1039" s="1734"/>
      <c r="AA1039" s="1734"/>
      <c r="AB1039" s="1734"/>
      <c r="AC1039" s="1734"/>
      <c r="AD1039" s="1734"/>
      <c r="AE1039" s="1735"/>
      <c r="AF1039" s="73"/>
      <c r="AG1039" s="14"/>
      <c r="AH1039" s="14"/>
      <c r="AI1039" s="83"/>
      <c r="AJ1039" s="1727"/>
      <c r="AK1039" s="1728"/>
      <c r="AL1039" s="1728"/>
      <c r="AM1039" s="1728"/>
      <c r="AN1039" s="1728"/>
      <c r="AO1039" s="1728"/>
      <c r="AP1039" s="1728"/>
      <c r="AQ1039" s="1729"/>
      <c r="AR1039" s="68"/>
      <c r="AS1039" s="68"/>
      <c r="AT1039" s="68"/>
      <c r="AU1039" s="68"/>
      <c r="AV1039" s="68"/>
      <c r="AW1039" s="68"/>
      <c r="AX1039" s="68"/>
      <c r="AY1039" s="68"/>
    </row>
    <row r="1040" spans="1:52" ht="12.95" customHeight="1">
      <c r="A1040" s="14"/>
      <c r="B1040" s="77"/>
      <c r="C1040" s="74"/>
      <c r="D1040" s="1736"/>
      <c r="E1040" s="1737"/>
      <c r="F1040" s="1737"/>
      <c r="G1040" s="1737"/>
      <c r="H1040" s="1737"/>
      <c r="I1040" s="1737"/>
      <c r="J1040" s="1737"/>
      <c r="K1040" s="1737"/>
      <c r="L1040" s="1737"/>
      <c r="M1040" s="1737"/>
      <c r="N1040" s="1737"/>
      <c r="O1040" s="1737"/>
      <c r="P1040" s="1737"/>
      <c r="Q1040" s="1737"/>
      <c r="R1040" s="1737"/>
      <c r="S1040" s="1737"/>
      <c r="T1040" s="1737"/>
      <c r="U1040" s="1737"/>
      <c r="V1040" s="1737"/>
      <c r="W1040" s="1737"/>
      <c r="X1040" s="1737"/>
      <c r="Y1040" s="1737"/>
      <c r="Z1040" s="1737"/>
      <c r="AA1040" s="1737"/>
      <c r="AB1040" s="1737"/>
      <c r="AC1040" s="1737"/>
      <c r="AD1040" s="1737"/>
      <c r="AE1040" s="1738"/>
      <c r="AF1040" s="73"/>
      <c r="AG1040" s="14"/>
      <c r="AH1040" s="14"/>
      <c r="AI1040" s="83"/>
      <c r="AJ1040" s="1739"/>
      <c r="AK1040" s="1740"/>
      <c r="AL1040" s="1740"/>
      <c r="AM1040" s="1740"/>
      <c r="AN1040" s="1740"/>
      <c r="AO1040" s="1740"/>
      <c r="AP1040" s="1740"/>
      <c r="AQ1040" s="1741"/>
      <c r="AR1040" s="68"/>
      <c r="AS1040" s="68"/>
      <c r="AT1040" s="68"/>
      <c r="AU1040" s="68"/>
      <c r="AV1040" s="68"/>
      <c r="AW1040" s="68"/>
      <c r="AX1040" s="68"/>
      <c r="AY1040" s="68"/>
    </row>
    <row r="1041" spans="1:57" ht="12.95" customHeight="1">
      <c r="A1041" s="14"/>
      <c r="B1041" s="73"/>
      <c r="C1041" s="339" t="s">
        <v>687</v>
      </c>
      <c r="D1041" s="1730" t="s">
        <v>1674</v>
      </c>
      <c r="E1041" s="1731"/>
      <c r="F1041" s="1731"/>
      <c r="G1041" s="1731"/>
      <c r="H1041" s="1731"/>
      <c r="I1041" s="1731"/>
      <c r="J1041" s="1731"/>
      <c r="K1041" s="1731"/>
      <c r="L1041" s="1731"/>
      <c r="M1041" s="1731"/>
      <c r="N1041" s="1731"/>
      <c r="O1041" s="1731"/>
      <c r="P1041" s="1731"/>
      <c r="Q1041" s="1731"/>
      <c r="R1041" s="1731"/>
      <c r="S1041" s="1731"/>
      <c r="T1041" s="1731"/>
      <c r="U1041" s="1731"/>
      <c r="V1041" s="1731"/>
      <c r="W1041" s="1731"/>
      <c r="X1041" s="1731"/>
      <c r="Y1041" s="1731"/>
      <c r="Z1041" s="1731"/>
      <c r="AA1041" s="1731"/>
      <c r="AB1041" s="1731"/>
      <c r="AC1041" s="1731"/>
      <c r="AD1041" s="1731"/>
      <c r="AE1041" s="1732"/>
      <c r="AF1041" s="79"/>
      <c r="AG1041" s="1759" t="s">
        <v>669</v>
      </c>
      <c r="AH1041" s="1760"/>
      <c r="AI1041" s="87"/>
      <c r="AJ1041" s="1724">
        <f>ROUND(IF(AG1041="yes",(AJ1001*0.15),0),0)</f>
        <v>0</v>
      </c>
      <c r="AK1041" s="1725"/>
      <c r="AL1041" s="1725"/>
      <c r="AM1041" s="1725"/>
      <c r="AN1041" s="1725"/>
      <c r="AO1041" s="1725"/>
      <c r="AP1041" s="1725"/>
      <c r="AQ1041" s="1726"/>
      <c r="AR1041" s="68"/>
      <c r="AS1041" s="68"/>
      <c r="AT1041" s="68"/>
      <c r="AU1041" s="68"/>
      <c r="AV1041" s="68"/>
      <c r="AW1041" s="68"/>
      <c r="AX1041" s="68"/>
      <c r="AY1041" s="68"/>
    </row>
    <row r="1042" spans="1:57" ht="12.95" customHeight="1">
      <c r="A1042" s="14"/>
      <c r="B1042" s="73"/>
      <c r="C1042" s="74"/>
      <c r="D1042" s="1775" t="s">
        <v>1675</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76"/>
      <c r="AF1042" s="911"/>
      <c r="AG1042" s="912"/>
      <c r="AH1042" s="912"/>
      <c r="AI1042" s="913"/>
      <c r="AJ1042" s="1727"/>
      <c r="AK1042" s="1728"/>
      <c r="AL1042" s="1728"/>
      <c r="AM1042" s="1728"/>
      <c r="AN1042" s="1728"/>
      <c r="AO1042" s="1728"/>
      <c r="AP1042" s="1728"/>
      <c r="AQ1042" s="1729"/>
      <c r="AR1042" s="68"/>
      <c r="AS1042" s="68"/>
      <c r="AT1042" s="68"/>
      <c r="AU1042" s="68"/>
      <c r="AV1042" s="68"/>
      <c r="AW1042" s="68"/>
      <c r="AX1042" s="68"/>
      <c r="AY1042" s="68"/>
    </row>
    <row r="1043" spans="1:57" ht="12.95" customHeight="1">
      <c r="A1043" s="14"/>
      <c r="B1043" s="73"/>
      <c r="C1043" s="74"/>
      <c r="D1043" s="1775"/>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76"/>
      <c r="AF1043" s="911"/>
      <c r="AG1043" s="912"/>
      <c r="AH1043" s="912"/>
      <c r="AI1043" s="913"/>
      <c r="AJ1043" s="1727"/>
      <c r="AK1043" s="1728"/>
      <c r="AL1043" s="1728"/>
      <c r="AM1043" s="1728"/>
      <c r="AN1043" s="1728"/>
      <c r="AO1043" s="1728"/>
      <c r="AP1043" s="1728"/>
      <c r="AQ1043" s="1729"/>
      <c r="AR1043" s="68"/>
      <c r="AS1043" s="68"/>
      <c r="AT1043" s="68"/>
      <c r="AU1043" s="68"/>
      <c r="AV1043" s="68"/>
      <c r="AW1043" s="68"/>
      <c r="AX1043" s="68"/>
      <c r="AY1043" s="68"/>
    </row>
    <row r="1044" spans="1:57" ht="12.95" customHeight="1">
      <c r="A1044" s="14"/>
      <c r="B1044" s="73"/>
      <c r="C1044" s="74"/>
      <c r="D1044" s="1777"/>
      <c r="E1044" s="1778"/>
      <c r="F1044" s="1778"/>
      <c r="G1044" s="1778"/>
      <c r="H1044" s="1778"/>
      <c r="I1044" s="1778"/>
      <c r="J1044" s="1778"/>
      <c r="K1044" s="1778"/>
      <c r="L1044" s="1778"/>
      <c r="M1044" s="1778"/>
      <c r="N1044" s="1778"/>
      <c r="O1044" s="1778"/>
      <c r="P1044" s="1778"/>
      <c r="Q1044" s="1778"/>
      <c r="R1044" s="1778"/>
      <c r="S1044" s="1778"/>
      <c r="T1044" s="1778"/>
      <c r="U1044" s="1778"/>
      <c r="V1044" s="1778"/>
      <c r="W1044" s="1778"/>
      <c r="X1044" s="1778"/>
      <c r="Y1044" s="1778"/>
      <c r="Z1044" s="1778"/>
      <c r="AA1044" s="1778"/>
      <c r="AB1044" s="1778"/>
      <c r="AC1044" s="1778"/>
      <c r="AD1044" s="1778"/>
      <c r="AE1044" s="1779"/>
      <c r="AF1044" s="914"/>
      <c r="AG1044" s="915"/>
      <c r="AH1044" s="915"/>
      <c r="AI1044" s="916"/>
      <c r="AJ1044" s="1739"/>
      <c r="AK1044" s="1740"/>
      <c r="AL1044" s="1740"/>
      <c r="AM1044" s="1740"/>
      <c r="AN1044" s="1740"/>
      <c r="AO1044" s="1740"/>
      <c r="AP1044" s="1740"/>
      <c r="AQ1044" s="1741"/>
      <c r="AR1044" s="68"/>
      <c r="AS1044" s="68"/>
      <c r="AT1044" s="68"/>
      <c r="AU1044" s="68"/>
      <c r="AV1044" s="68"/>
      <c r="AW1044" s="68"/>
      <c r="AX1044" s="68"/>
      <c r="AY1044" s="68"/>
    </row>
    <row r="1045" spans="1:57" ht="12.95" customHeight="1">
      <c r="A1045" s="14"/>
      <c r="B1045" s="73"/>
      <c r="C1045" s="339" t="s">
        <v>687</v>
      </c>
      <c r="D1045" s="1748" t="s">
        <v>1676</v>
      </c>
      <c r="E1045" s="1749"/>
      <c r="F1045" s="1749"/>
      <c r="G1045" s="1749"/>
      <c r="H1045" s="1749"/>
      <c r="I1045" s="1749"/>
      <c r="J1045" s="1749"/>
      <c r="K1045" s="1749"/>
      <c r="L1045" s="1749"/>
      <c r="M1045" s="1749"/>
      <c r="N1045" s="1749"/>
      <c r="O1045" s="1749"/>
      <c r="P1045" s="1749"/>
      <c r="Q1045" s="1749"/>
      <c r="R1045" s="1749"/>
      <c r="S1045" s="1749"/>
      <c r="T1045" s="1749"/>
      <c r="U1045" s="1749"/>
      <c r="V1045" s="1749"/>
      <c r="W1045" s="1749"/>
      <c r="X1045" s="1749"/>
      <c r="Y1045" s="1749"/>
      <c r="Z1045" s="1749"/>
      <c r="AA1045" s="1749"/>
      <c r="AB1045" s="1749"/>
      <c r="AC1045" s="1749"/>
      <c r="AD1045" s="1749"/>
      <c r="AE1045" s="1750"/>
      <c r="AF1045" s="73"/>
      <c r="AG1045" s="1761" t="s">
        <v>545</v>
      </c>
      <c r="AH1045" s="1762"/>
      <c r="AI1045" s="83"/>
      <c r="AJ1045" s="1724">
        <f>ROUND(IF(AND(AG1045="yes",AJ1041=0),(AJ1001*0.1),0),0)</f>
        <v>8581461</v>
      </c>
      <c r="AK1045" s="1725"/>
      <c r="AL1045" s="1725"/>
      <c r="AM1045" s="1725"/>
      <c r="AN1045" s="1725"/>
      <c r="AO1045" s="1725"/>
      <c r="AP1045" s="1725"/>
      <c r="AQ1045" s="1726"/>
      <c r="AR1045" s="68"/>
      <c r="AS1045" s="68"/>
      <c r="AT1045" s="68"/>
      <c r="AU1045" s="68"/>
      <c r="AV1045" s="68"/>
      <c r="AW1045" s="68"/>
      <c r="AX1045" s="68"/>
      <c r="AY1045" s="68"/>
    </row>
    <row r="1046" spans="1:57" ht="12.95" customHeight="1">
      <c r="A1046" s="14"/>
      <c r="B1046" s="73"/>
      <c r="C1046" s="74"/>
      <c r="D1046" s="1775" t="s">
        <v>1677</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76"/>
      <c r="AF1046" s="73"/>
      <c r="AG1046" s="14"/>
      <c r="AH1046" s="14"/>
      <c r="AI1046" s="83"/>
      <c r="AJ1046" s="1727"/>
      <c r="AK1046" s="1728"/>
      <c r="AL1046" s="1728"/>
      <c r="AM1046" s="1728"/>
      <c r="AN1046" s="1728"/>
      <c r="AO1046" s="1728"/>
      <c r="AP1046" s="1728"/>
      <c r="AQ1046" s="1729"/>
      <c r="AR1046" s="68"/>
      <c r="AS1046" s="68"/>
      <c r="AT1046" s="68"/>
      <c r="AU1046" s="68"/>
      <c r="AV1046" s="68"/>
      <c r="AW1046" s="68"/>
      <c r="AX1046" s="68"/>
      <c r="AY1046" s="68"/>
    </row>
    <row r="1047" spans="1:57" ht="12.95" customHeight="1">
      <c r="A1047" s="14"/>
      <c r="B1047" s="73"/>
      <c r="C1047" s="74"/>
      <c r="D1047" s="1775"/>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76"/>
      <c r="AF1047" s="73"/>
      <c r="AG1047" s="14"/>
      <c r="AH1047" s="14"/>
      <c r="AI1047" s="83"/>
      <c r="AJ1047" s="1727"/>
      <c r="AK1047" s="1728"/>
      <c r="AL1047" s="1728"/>
      <c r="AM1047" s="1728"/>
      <c r="AN1047" s="1728"/>
      <c r="AO1047" s="1728"/>
      <c r="AP1047" s="1728"/>
      <c r="AQ1047" s="1729"/>
      <c r="AR1047" s="68"/>
      <c r="AS1047" s="68"/>
      <c r="AT1047" s="68"/>
      <c r="AU1047" s="68"/>
      <c r="AV1047" s="68"/>
      <c r="AW1047" s="68"/>
      <c r="AX1047" s="68"/>
      <c r="AY1047" s="68"/>
      <c r="BA1047" s="1176">
        <f>IFERROR(('Sources and Uses Budget'!$C$17+'Sources and Uses Budget'!$C$18+'Sources and Uses Budget'!$C$22)/$AG$446,0)</f>
        <v>0</v>
      </c>
      <c r="BB1047" s="1176" t="s">
        <v>2420</v>
      </c>
      <c r="BC1047" s="1176"/>
      <c r="BD1047" s="1176"/>
      <c r="BE1047" s="1176"/>
    </row>
    <row r="1048" spans="1:57" ht="12.95" customHeight="1">
      <c r="A1048" s="14"/>
      <c r="B1048" s="73"/>
      <c r="C1048" s="74"/>
      <c r="D1048" s="1775"/>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76"/>
      <c r="AF1048" s="73"/>
      <c r="AG1048" s="14"/>
      <c r="AH1048" s="14"/>
      <c r="AI1048" s="83"/>
      <c r="AJ1048" s="1727"/>
      <c r="AK1048" s="1728"/>
      <c r="AL1048" s="1728"/>
      <c r="AM1048" s="1728"/>
      <c r="AN1048" s="1728"/>
      <c r="AO1048" s="1728"/>
      <c r="AP1048" s="1728"/>
      <c r="AQ1048" s="1729"/>
      <c r="AR1048" s="68"/>
      <c r="AS1048" s="68"/>
      <c r="AT1048" s="68"/>
      <c r="AU1048" s="68"/>
      <c r="AV1048" s="68"/>
      <c r="AW1048" s="68"/>
      <c r="AX1048" s="68"/>
      <c r="AY1048" s="68"/>
      <c r="BA1048">
        <f>IFERROR((($CI$761+$CM$761)/$AG$449),0)</f>
        <v>0.23972602739726026</v>
      </c>
      <c r="BB1048" s="3" t="s">
        <v>2424</v>
      </c>
    </row>
    <row r="1049" spans="1:57" ht="12.95" customHeight="1">
      <c r="A1049" s="14"/>
      <c r="B1049" s="73"/>
      <c r="C1049" s="74"/>
      <c r="D1049" s="1777"/>
      <c r="E1049" s="1778"/>
      <c r="F1049" s="1778"/>
      <c r="G1049" s="1778"/>
      <c r="H1049" s="1778"/>
      <c r="I1049" s="1778"/>
      <c r="J1049" s="1778"/>
      <c r="K1049" s="1778"/>
      <c r="L1049" s="1778"/>
      <c r="M1049" s="1778"/>
      <c r="N1049" s="1778"/>
      <c r="O1049" s="1778"/>
      <c r="P1049" s="1778"/>
      <c r="Q1049" s="1778"/>
      <c r="R1049" s="1778"/>
      <c r="S1049" s="1778"/>
      <c r="T1049" s="1778"/>
      <c r="U1049" s="1778"/>
      <c r="V1049" s="1778"/>
      <c r="W1049" s="1778"/>
      <c r="X1049" s="1778"/>
      <c r="Y1049" s="1778"/>
      <c r="Z1049" s="1778"/>
      <c r="AA1049" s="1778"/>
      <c r="AB1049" s="1778"/>
      <c r="AC1049" s="1778"/>
      <c r="AD1049" s="1778"/>
      <c r="AE1049" s="1779"/>
      <c r="AF1049" s="73"/>
      <c r="AG1049" s="14"/>
      <c r="AH1049" s="14"/>
      <c r="AI1049" s="83"/>
      <c r="AJ1049" s="1727"/>
      <c r="AK1049" s="1728"/>
      <c r="AL1049" s="1728"/>
      <c r="AM1049" s="1728"/>
      <c r="AN1049" s="1728"/>
      <c r="AO1049" s="1728"/>
      <c r="AP1049" s="1728"/>
      <c r="AQ1049" s="1729"/>
      <c r="AR1049" s="68"/>
      <c r="AS1049" s="68"/>
      <c r="AT1049" s="68"/>
      <c r="AU1049" s="68"/>
      <c r="AV1049" s="68"/>
      <c r="AW1049" s="68"/>
      <c r="AX1049" s="68"/>
      <c r="AY1049" s="68"/>
      <c r="BA1049" t="b">
        <f>'Points System'!AJ163="Yes"</f>
        <v>0</v>
      </c>
      <c r="BB1049" s="3" t="s">
        <v>2421</v>
      </c>
    </row>
    <row r="1050" spans="1:57" ht="12.95" customHeight="1">
      <c r="A1050" s="14"/>
      <c r="B1050" s="79"/>
      <c r="C1050" s="131" t="s">
        <v>1009</v>
      </c>
      <c r="D1050" s="1730" t="s">
        <v>1295</v>
      </c>
      <c r="E1050" s="1731"/>
      <c r="F1050" s="1731"/>
      <c r="G1050" s="1731"/>
      <c r="H1050" s="1731"/>
      <c r="I1050" s="1731"/>
      <c r="J1050" s="1731"/>
      <c r="K1050" s="1731"/>
      <c r="L1050" s="1731"/>
      <c r="M1050" s="1731"/>
      <c r="N1050" s="1731"/>
      <c r="O1050" s="1731"/>
      <c r="P1050" s="1731"/>
      <c r="Q1050" s="1731"/>
      <c r="R1050" s="1731"/>
      <c r="S1050" s="1731"/>
      <c r="T1050" s="1731"/>
      <c r="U1050" s="1731"/>
      <c r="V1050" s="1731"/>
      <c r="W1050" s="1731"/>
      <c r="X1050" s="1731"/>
      <c r="Y1050" s="1731"/>
      <c r="Z1050" s="1731"/>
      <c r="AA1050" s="1731"/>
      <c r="AB1050" s="1731"/>
      <c r="AC1050" s="1731"/>
      <c r="AD1050" s="1731"/>
      <c r="AE1050" s="1732"/>
      <c r="AF1050" s="79"/>
      <c r="AG1050" s="1759" t="s">
        <v>669</v>
      </c>
      <c r="AH1050" s="1760"/>
      <c r="AI1050" s="87"/>
      <c r="AJ1050" s="1724">
        <f>ROUND(IF(AG1050="yes",(AJ1001*0.1),0),0)</f>
        <v>0</v>
      </c>
      <c r="AK1050" s="1725"/>
      <c r="AL1050" s="1725"/>
      <c r="AM1050" s="1725"/>
      <c r="AN1050" s="1725"/>
      <c r="AO1050" s="1725"/>
      <c r="AP1050" s="1725"/>
      <c r="AQ1050" s="1726"/>
      <c r="AR1050" s="68"/>
      <c r="AS1050" s="68"/>
      <c r="AT1050" s="68"/>
      <c r="AU1050" s="68"/>
      <c r="AV1050" s="68"/>
      <c r="AW1050" s="68"/>
      <c r="AX1050" s="68"/>
      <c r="AY1050" s="68"/>
      <c r="BA1050">
        <f>Q212</f>
        <v>0</v>
      </c>
      <c r="BB1050" s="3" t="s">
        <v>2422</v>
      </c>
    </row>
    <row r="1051" spans="1:57" ht="12.95" customHeight="1">
      <c r="A1051" s="14"/>
      <c r="B1051" s="73"/>
      <c r="C1051" s="74"/>
      <c r="D1051" s="1733" t="s">
        <v>2099</v>
      </c>
      <c r="E1051" s="1734"/>
      <c r="F1051" s="1734"/>
      <c r="G1051" s="1734"/>
      <c r="H1051" s="1734"/>
      <c r="I1051" s="1734"/>
      <c r="J1051" s="1734"/>
      <c r="K1051" s="1734"/>
      <c r="L1051" s="1734"/>
      <c r="M1051" s="1734"/>
      <c r="N1051" s="1734"/>
      <c r="O1051" s="1734"/>
      <c r="P1051" s="1734"/>
      <c r="Q1051" s="1734"/>
      <c r="R1051" s="1734"/>
      <c r="S1051" s="1734"/>
      <c r="T1051" s="1734"/>
      <c r="U1051" s="1734"/>
      <c r="V1051" s="1734"/>
      <c r="W1051" s="1734"/>
      <c r="X1051" s="1734"/>
      <c r="Y1051" s="1734"/>
      <c r="Z1051" s="1734"/>
      <c r="AA1051" s="1734"/>
      <c r="AB1051" s="1734"/>
      <c r="AC1051" s="1734"/>
      <c r="AD1051" s="1734"/>
      <c r="AE1051" s="1735"/>
      <c r="AF1051" s="73"/>
      <c r="AG1051" s="14"/>
      <c r="AH1051" s="14"/>
      <c r="AI1051" s="83"/>
      <c r="AJ1051" s="1727"/>
      <c r="AK1051" s="1728"/>
      <c r="AL1051" s="1728"/>
      <c r="AM1051" s="1728"/>
      <c r="AN1051" s="1728"/>
      <c r="AO1051" s="1728"/>
      <c r="AP1051" s="1728"/>
      <c r="AQ1051" s="1729"/>
      <c r="AR1051" s="68"/>
      <c r="AS1051" s="68"/>
      <c r="AT1051" s="68"/>
      <c r="AU1051" s="68"/>
      <c r="AV1051" s="68"/>
      <c r="AW1051" s="68"/>
      <c r="AX1051" s="68"/>
      <c r="AY1051" s="68"/>
      <c r="BA1051" s="1177">
        <f>T212</f>
        <v>0</v>
      </c>
      <c r="BB1051" s="3" t="s">
        <v>2423</v>
      </c>
    </row>
    <row r="1052" spans="1:57" ht="12.95" customHeight="1">
      <c r="A1052" s="14"/>
      <c r="B1052" s="73"/>
      <c r="C1052" s="74"/>
      <c r="D1052" s="1733"/>
      <c r="E1052" s="1734"/>
      <c r="F1052" s="1734"/>
      <c r="G1052" s="1734"/>
      <c r="H1052" s="1734"/>
      <c r="I1052" s="1734"/>
      <c r="J1052" s="1734"/>
      <c r="K1052" s="1734"/>
      <c r="L1052" s="1734"/>
      <c r="M1052" s="1734"/>
      <c r="N1052" s="1734"/>
      <c r="O1052" s="1734"/>
      <c r="P1052" s="1734"/>
      <c r="Q1052" s="1734"/>
      <c r="R1052" s="1734"/>
      <c r="S1052" s="1734"/>
      <c r="T1052" s="1734"/>
      <c r="U1052" s="1734"/>
      <c r="V1052" s="1734"/>
      <c r="W1052" s="1734"/>
      <c r="X1052" s="1734"/>
      <c r="Y1052" s="1734"/>
      <c r="Z1052" s="1734"/>
      <c r="AA1052" s="1734"/>
      <c r="AB1052" s="1734"/>
      <c r="AC1052" s="1734"/>
      <c r="AD1052" s="1734"/>
      <c r="AE1052" s="1735"/>
      <c r="AF1052" s="73"/>
      <c r="AG1052" s="14"/>
      <c r="AH1052" s="14"/>
      <c r="AI1052" s="83"/>
      <c r="AJ1052" s="1727"/>
      <c r="AK1052" s="1728"/>
      <c r="AL1052" s="1728"/>
      <c r="AM1052" s="1728"/>
      <c r="AN1052" s="1728"/>
      <c r="AO1052" s="1728"/>
      <c r="AP1052" s="1728"/>
      <c r="AQ1052" s="1729"/>
      <c r="AR1052" s="68"/>
      <c r="AS1052" s="68"/>
      <c r="AT1052" s="68"/>
      <c r="AU1052" s="68"/>
      <c r="AV1052" s="68"/>
      <c r="AW1052" s="68"/>
      <c r="AX1052" s="68"/>
      <c r="AY1052" s="68"/>
    </row>
    <row r="1053" spans="1:57" ht="12.95" customHeight="1">
      <c r="A1053" s="14"/>
      <c r="B1053" s="73"/>
      <c r="C1053" s="74"/>
      <c r="D1053" s="1736"/>
      <c r="E1053" s="1737"/>
      <c r="F1053" s="1737"/>
      <c r="G1053" s="1737"/>
      <c r="H1053" s="1737"/>
      <c r="I1053" s="1737"/>
      <c r="J1053" s="1737"/>
      <c r="K1053" s="1737"/>
      <c r="L1053" s="1737"/>
      <c r="M1053" s="1737"/>
      <c r="N1053" s="1737"/>
      <c r="O1053" s="1737"/>
      <c r="P1053" s="1737"/>
      <c r="Q1053" s="1737"/>
      <c r="R1053" s="1737"/>
      <c r="S1053" s="1737"/>
      <c r="T1053" s="1737"/>
      <c r="U1053" s="1737"/>
      <c r="V1053" s="1737"/>
      <c r="W1053" s="1737"/>
      <c r="X1053" s="1737"/>
      <c r="Y1053" s="1737"/>
      <c r="Z1053" s="1737"/>
      <c r="AA1053" s="1737"/>
      <c r="AB1053" s="1737"/>
      <c r="AC1053" s="1737"/>
      <c r="AD1053" s="1737"/>
      <c r="AE1053" s="1738"/>
      <c r="AF1053" s="73"/>
      <c r="AG1053" s="14"/>
      <c r="AH1053" s="14"/>
      <c r="AI1053" s="83"/>
      <c r="AJ1053" s="1739"/>
      <c r="AK1053" s="1740"/>
      <c r="AL1053" s="1740"/>
      <c r="AM1053" s="1740"/>
      <c r="AN1053" s="1740"/>
      <c r="AO1053" s="1740"/>
      <c r="AP1053" s="1740"/>
      <c r="AQ1053" s="1741"/>
      <c r="AR1053" s="68"/>
      <c r="AS1053" s="68"/>
      <c r="AT1053" s="68"/>
      <c r="AU1053" s="68"/>
      <c r="AV1053" s="68"/>
      <c r="AW1053" s="68"/>
      <c r="AX1053" s="68"/>
      <c r="AY1053" s="68"/>
    </row>
    <row r="1054" spans="1:57" ht="12.95" customHeight="1">
      <c r="A1054" s="14"/>
      <c r="B1054" s="79"/>
      <c r="C1054" s="131" t="s">
        <v>1672</v>
      </c>
      <c r="D1054" s="1748" t="s">
        <v>1838</v>
      </c>
      <c r="E1054" s="1749"/>
      <c r="F1054" s="1749"/>
      <c r="G1054" s="1749"/>
      <c r="H1054" s="1749"/>
      <c r="I1054" s="1749"/>
      <c r="J1054" s="1749"/>
      <c r="K1054" s="1749"/>
      <c r="L1054" s="1749"/>
      <c r="M1054" s="1749"/>
      <c r="N1054" s="1749"/>
      <c r="O1054" s="1749"/>
      <c r="P1054" s="1749"/>
      <c r="Q1054" s="1749"/>
      <c r="R1054" s="1749"/>
      <c r="S1054" s="1749"/>
      <c r="T1054" s="1749"/>
      <c r="U1054" s="1749"/>
      <c r="V1054" s="1749"/>
      <c r="W1054" s="1749"/>
      <c r="X1054" s="1749"/>
      <c r="Y1054" s="1749"/>
      <c r="Z1054" s="1749"/>
      <c r="AA1054" s="1749"/>
      <c r="AB1054" s="1749"/>
      <c r="AC1054" s="1749"/>
      <c r="AD1054" s="1749"/>
      <c r="AE1054" s="1750"/>
      <c r="AF1054" s="79"/>
      <c r="AG1054" s="1757" t="str">
        <f>IF(X1057&gt;0,"Yes","No")</f>
        <v>No</v>
      </c>
      <c r="AH1054" s="1758"/>
      <c r="AI1054" s="87"/>
      <c r="AJ1054" s="1724">
        <f>IF((X1057=0),0,AY1014*AJ1001)</f>
        <v>0</v>
      </c>
      <c r="AK1054" s="1725"/>
      <c r="AL1054" s="1725"/>
      <c r="AM1054" s="1725"/>
      <c r="AN1054" s="1725"/>
      <c r="AO1054" s="1725"/>
      <c r="AP1054" s="1725"/>
      <c r="AQ1054" s="1726"/>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2409</v>
      </c>
      <c r="BB1054" s="3"/>
      <c r="BC1054" s="3"/>
      <c r="BD1054" s="3"/>
    </row>
    <row r="1055" spans="1:57" ht="12.95" customHeight="1">
      <c r="A1055" s="14"/>
      <c r="B1055" s="73"/>
      <c r="C1055" s="442"/>
      <c r="D1055" s="1733" t="s">
        <v>1297</v>
      </c>
      <c r="E1055" s="1734"/>
      <c r="F1055" s="1734"/>
      <c r="G1055" s="1734"/>
      <c r="H1055" s="1734"/>
      <c r="I1055" s="1734"/>
      <c r="J1055" s="1734"/>
      <c r="K1055" s="1734"/>
      <c r="L1055" s="1734"/>
      <c r="M1055" s="1734"/>
      <c r="N1055" s="1734"/>
      <c r="O1055" s="1734"/>
      <c r="P1055" s="1734"/>
      <c r="Q1055" s="1734"/>
      <c r="R1055" s="1734"/>
      <c r="S1055" s="1734"/>
      <c r="T1055" s="1734"/>
      <c r="U1055" s="1734"/>
      <c r="V1055" s="1734"/>
      <c r="W1055" s="1734"/>
      <c r="X1055" s="1734"/>
      <c r="Y1055" s="1734"/>
      <c r="Z1055" s="1734"/>
      <c r="AA1055" s="1734"/>
      <c r="AB1055" s="1734"/>
      <c r="AC1055" s="1734"/>
      <c r="AD1055" s="1734"/>
      <c r="AE1055" s="1735"/>
      <c r="AF1055" s="73"/>
      <c r="AG1055" s="443"/>
      <c r="AH1055" s="443"/>
      <c r="AI1055" s="83"/>
      <c r="AJ1055" s="1727"/>
      <c r="AK1055" s="1728"/>
      <c r="AL1055" s="1728"/>
      <c r="AM1055" s="1728"/>
      <c r="AN1055" s="1728"/>
      <c r="AO1055" s="1728"/>
      <c r="AP1055" s="1728"/>
      <c r="AQ1055" s="1729"/>
      <c r="AR1055" s="68"/>
      <c r="AS1055" s="68"/>
      <c r="AT1055" s="68"/>
      <c r="AU1055" s="13"/>
      <c r="AV1055" s="68"/>
      <c r="AW1055" s="68"/>
      <c r="AX1055" s="68"/>
      <c r="AY1055" s="68"/>
      <c r="AZ1055" s="958">
        <f>'Sources and Uses Budget'!S97*BA1055</f>
        <v>6737938.3499999996</v>
      </c>
      <c r="BA1055" s="1175">
        <f>IF(BA1049,20%,15%)</f>
        <v>0.15</v>
      </c>
      <c r="BB1055" s="3" t="s">
        <v>2410</v>
      </c>
      <c r="BC1055" s="3" t="s">
        <v>2411</v>
      </c>
      <c r="BD1055" s="3"/>
    </row>
    <row r="1056" spans="1:57" ht="12.95" customHeight="1">
      <c r="A1056" s="14"/>
      <c r="B1056" s="73"/>
      <c r="C1056" s="442"/>
      <c r="D1056" s="1733"/>
      <c r="E1056" s="1734"/>
      <c r="F1056" s="1734"/>
      <c r="G1056" s="1734"/>
      <c r="H1056" s="1734"/>
      <c r="I1056" s="1734"/>
      <c r="J1056" s="1734"/>
      <c r="K1056" s="1734"/>
      <c r="L1056" s="1734"/>
      <c r="M1056" s="1734"/>
      <c r="N1056" s="1734"/>
      <c r="O1056" s="1734"/>
      <c r="P1056" s="1734"/>
      <c r="Q1056" s="1734"/>
      <c r="R1056" s="1734"/>
      <c r="S1056" s="1734"/>
      <c r="T1056" s="1734"/>
      <c r="U1056" s="1734"/>
      <c r="V1056" s="1734"/>
      <c r="W1056" s="1734"/>
      <c r="X1056" s="1734"/>
      <c r="Y1056" s="1734"/>
      <c r="Z1056" s="1734"/>
      <c r="AA1056" s="1734"/>
      <c r="AB1056" s="1734"/>
      <c r="AC1056" s="1734"/>
      <c r="AD1056" s="1734"/>
      <c r="AE1056" s="1735"/>
      <c r="AF1056" s="73"/>
      <c r="AG1056" s="443"/>
      <c r="AH1056" s="443"/>
      <c r="AI1056" s="83"/>
      <c r="AJ1056" s="1727"/>
      <c r="AK1056" s="1728"/>
      <c r="AL1056" s="1728"/>
      <c r="AM1056" s="1728"/>
      <c r="AN1056" s="1728"/>
      <c r="AO1056" s="1728"/>
      <c r="AP1056" s="1728"/>
      <c r="AQ1056" s="1729"/>
      <c r="AR1056" s="68"/>
      <c r="AS1056" s="68"/>
      <c r="AT1056" s="68"/>
      <c r="AU1056" s="13"/>
      <c r="AV1056" s="68"/>
      <c r="AW1056" s="68"/>
      <c r="AX1056" s="68"/>
      <c r="AY1056" s="68"/>
      <c r="AZ1056" s="958">
        <f>IF(M365="N/A",0,'Sources and Uses Budget'!T97*BA1056)</f>
        <v>0</v>
      </c>
      <c r="BA1056" s="1175">
        <v>0.15</v>
      </c>
      <c r="BB1056" s="3" t="s">
        <v>2410</v>
      </c>
      <c r="BC1056" s="3" t="s">
        <v>2412</v>
      </c>
      <c r="BD1056" s="3"/>
    </row>
    <row r="1057" spans="1:56" ht="12.95" customHeight="1">
      <c r="A1057" s="14"/>
      <c r="B1057" s="77"/>
      <c r="C1057" s="78"/>
      <c r="D1057" s="132" t="s">
        <v>971</v>
      </c>
      <c r="E1057" s="133"/>
      <c r="F1057" s="133"/>
      <c r="G1057" s="133"/>
      <c r="H1057" s="133"/>
      <c r="I1057" s="1796">
        <f>AY1012</f>
        <v>146</v>
      </c>
      <c r="J1057" s="1797"/>
      <c r="K1057" s="7"/>
      <c r="L1057" s="133"/>
      <c r="M1057" s="133"/>
      <c r="N1057" s="133"/>
      <c r="O1057" s="133"/>
      <c r="P1057" s="133"/>
      <c r="Q1057" s="133"/>
      <c r="R1057" s="133"/>
      <c r="S1057" s="133"/>
      <c r="T1057" s="133"/>
      <c r="U1057" s="133"/>
      <c r="V1057" s="134" t="s">
        <v>972</v>
      </c>
      <c r="W1057" s="48"/>
      <c r="X1057" s="1794">
        <f>CI761</f>
        <v>0</v>
      </c>
      <c r="Y1057" s="1795"/>
      <c r="Z1057" s="48"/>
      <c r="AA1057" s="48"/>
      <c r="AB1057" s="48"/>
      <c r="AC1057" s="48"/>
      <c r="AD1057" s="48"/>
      <c r="AE1057" s="49"/>
      <c r="AF1057" s="920"/>
      <c r="AG1057" s="921"/>
      <c r="AH1057" s="921"/>
      <c r="AI1057" s="922"/>
      <c r="AJ1057" s="1739"/>
      <c r="AK1057" s="1740"/>
      <c r="AL1057" s="1740"/>
      <c r="AM1057" s="1740"/>
      <c r="AN1057" s="1740"/>
      <c r="AO1057" s="1740"/>
      <c r="AP1057" s="1740"/>
      <c r="AQ1057" s="1741"/>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2410</v>
      </c>
      <c r="BC1057" s="3" t="s">
        <v>2413</v>
      </c>
      <c r="BD1057" s="3"/>
    </row>
    <row r="1058" spans="1:56" ht="12.95" customHeight="1">
      <c r="A1058" s="14"/>
      <c r="B1058" s="79"/>
      <c r="C1058" s="131" t="s">
        <v>1673</v>
      </c>
      <c r="D1058" s="1730" t="s">
        <v>2125</v>
      </c>
      <c r="E1058" s="1731"/>
      <c r="F1058" s="1731"/>
      <c r="G1058" s="1731"/>
      <c r="H1058" s="1731"/>
      <c r="I1058" s="1731"/>
      <c r="J1058" s="1731"/>
      <c r="K1058" s="1731"/>
      <c r="L1058" s="1731"/>
      <c r="M1058" s="1731"/>
      <c r="N1058" s="1731"/>
      <c r="O1058" s="1731"/>
      <c r="P1058" s="1731"/>
      <c r="Q1058" s="1731"/>
      <c r="R1058" s="1731"/>
      <c r="S1058" s="1731"/>
      <c r="T1058" s="1731"/>
      <c r="U1058" s="1731"/>
      <c r="V1058" s="1731"/>
      <c r="W1058" s="1731"/>
      <c r="X1058" s="1731"/>
      <c r="Y1058" s="1731"/>
      <c r="Z1058" s="1731"/>
      <c r="AA1058" s="1731"/>
      <c r="AB1058" s="1731"/>
      <c r="AC1058" s="1731"/>
      <c r="AD1058" s="1731"/>
      <c r="AE1058" s="1732"/>
      <c r="AF1058" s="73"/>
      <c r="AG1058" s="1757" t="str">
        <f>IF(X1061&gt;0,"Yes","No")</f>
        <v>Yes</v>
      </c>
      <c r="AH1058" s="1758"/>
      <c r="AI1058" s="83"/>
      <c r="AJ1058" s="1724">
        <f>IF((X1061=0),0,(2*AY1015)*AJ1001)</f>
        <v>39474719.219999999</v>
      </c>
      <c r="AK1058" s="1725"/>
      <c r="AL1058" s="1725"/>
      <c r="AM1058" s="1725"/>
      <c r="AN1058" s="1725"/>
      <c r="AO1058" s="1725"/>
      <c r="AP1058" s="1725"/>
      <c r="AQ1058" s="1726"/>
      <c r="AR1058" s="68"/>
      <c r="AS1058" s="68"/>
      <c r="AT1058" s="68"/>
      <c r="AU1058" s="14"/>
      <c r="AV1058" s="68"/>
      <c r="AW1058" s="68"/>
      <c r="AX1058" s="68"/>
      <c r="AY1058" s="68"/>
      <c r="AZ1058" s="958">
        <f>AZ1054*BA1058</f>
        <v>0</v>
      </c>
      <c r="BA1058" s="1175">
        <v>0.15</v>
      </c>
      <c r="BB1058" s="3" t="s">
        <v>2410</v>
      </c>
      <c r="BC1058" s="3" t="s">
        <v>2414</v>
      </c>
      <c r="BD1058" s="3"/>
    </row>
    <row r="1059" spans="1:56" ht="12.95" customHeight="1">
      <c r="A1059" s="14"/>
      <c r="B1059" s="73"/>
      <c r="C1059" s="442"/>
      <c r="D1059" s="1733" t="s">
        <v>1296</v>
      </c>
      <c r="E1059" s="1734"/>
      <c r="F1059" s="1734"/>
      <c r="G1059" s="1734"/>
      <c r="H1059" s="1734"/>
      <c r="I1059" s="1734"/>
      <c r="J1059" s="1734"/>
      <c r="K1059" s="1734"/>
      <c r="L1059" s="1734"/>
      <c r="M1059" s="1734"/>
      <c r="N1059" s="1734"/>
      <c r="O1059" s="1734"/>
      <c r="P1059" s="1734"/>
      <c r="Q1059" s="1734"/>
      <c r="R1059" s="1734"/>
      <c r="S1059" s="1734"/>
      <c r="T1059" s="1734"/>
      <c r="U1059" s="1734"/>
      <c r="V1059" s="1734"/>
      <c r="W1059" s="1734"/>
      <c r="X1059" s="1734"/>
      <c r="Y1059" s="1734"/>
      <c r="Z1059" s="1734"/>
      <c r="AA1059" s="1734"/>
      <c r="AB1059" s="1734"/>
      <c r="AC1059" s="1734"/>
      <c r="AD1059" s="1734"/>
      <c r="AE1059" s="1735"/>
      <c r="AF1059" s="73"/>
      <c r="AG1059" s="443"/>
      <c r="AH1059" s="443"/>
      <c r="AI1059" s="83"/>
      <c r="AJ1059" s="1727"/>
      <c r="AK1059" s="1728"/>
      <c r="AL1059" s="1728"/>
      <c r="AM1059" s="1728"/>
      <c r="AN1059" s="1728"/>
      <c r="AO1059" s="1728"/>
      <c r="AP1059" s="1728"/>
      <c r="AQ1059" s="1729"/>
      <c r="AR1059" s="68"/>
      <c r="AS1059" s="68"/>
      <c r="AT1059" s="68"/>
      <c r="AU1059" s="68"/>
      <c r="AV1059" s="68"/>
      <c r="AW1059" s="68"/>
      <c r="AX1059" s="68"/>
      <c r="AY1059" s="68"/>
      <c r="AZ1059" s="958"/>
      <c r="BA1059" s="3"/>
      <c r="BB1059" s="3"/>
      <c r="BC1059" s="3"/>
      <c r="BD1059" s="3"/>
    </row>
    <row r="1060" spans="1:56" ht="12.95" customHeight="1">
      <c r="A1060" s="14"/>
      <c r="B1060" s="73"/>
      <c r="C1060" s="83"/>
      <c r="D1060" s="1733"/>
      <c r="E1060" s="1734"/>
      <c r="F1060" s="1734"/>
      <c r="G1060" s="1734"/>
      <c r="H1060" s="1734"/>
      <c r="I1060" s="1734"/>
      <c r="J1060" s="1734"/>
      <c r="K1060" s="1734"/>
      <c r="L1060" s="1734"/>
      <c r="M1060" s="1734"/>
      <c r="N1060" s="1734"/>
      <c r="O1060" s="1734"/>
      <c r="P1060" s="1734"/>
      <c r="Q1060" s="1734"/>
      <c r="R1060" s="1734"/>
      <c r="S1060" s="1734"/>
      <c r="T1060" s="1734"/>
      <c r="U1060" s="1734"/>
      <c r="V1060" s="1734"/>
      <c r="W1060" s="1734"/>
      <c r="X1060" s="1734"/>
      <c r="Y1060" s="1734"/>
      <c r="Z1060" s="1734"/>
      <c r="AA1060" s="1734"/>
      <c r="AB1060" s="1734"/>
      <c r="AC1060" s="1734"/>
      <c r="AD1060" s="1734"/>
      <c r="AE1060" s="1735"/>
      <c r="AF1060" s="917"/>
      <c r="AG1060" s="918"/>
      <c r="AH1060" s="918"/>
      <c r="AI1060" s="919"/>
      <c r="AJ1060" s="1727"/>
      <c r="AK1060" s="1728"/>
      <c r="AL1060" s="1728"/>
      <c r="AM1060" s="1728"/>
      <c r="AN1060" s="1728"/>
      <c r="AO1060" s="1728"/>
      <c r="AP1060" s="1728"/>
      <c r="AQ1060" s="1729"/>
      <c r="AR1060" s="68"/>
      <c r="AS1060" s="68"/>
      <c r="AT1060" s="68"/>
      <c r="AU1060" s="68"/>
      <c r="AV1060" s="68"/>
      <c r="AW1060" s="68"/>
      <c r="AX1060" s="68"/>
      <c r="AY1060" s="68"/>
      <c r="AZ1060" s="958">
        <f>ROUNDDOWN(MIN(SUM(AZ1055,AZ1056,AZ1057,AZ1058),BD1060),0)</f>
        <v>2500000</v>
      </c>
      <c r="BA1060" s="3" t="s">
        <v>2415</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796">
        <f>AY1012</f>
        <v>146</v>
      </c>
      <c r="J1061" s="1797"/>
      <c r="K1061" s="14"/>
      <c r="L1061" s="133"/>
      <c r="M1061" s="133"/>
      <c r="N1061" s="133"/>
      <c r="O1061" s="133"/>
      <c r="P1061" s="133"/>
      <c r="Q1061" s="133"/>
      <c r="R1061" s="133"/>
      <c r="S1061" s="133"/>
      <c r="T1061" s="133"/>
      <c r="U1061" s="133"/>
      <c r="V1061" s="134" t="s">
        <v>973</v>
      </c>
      <c r="X1061" s="1794">
        <f>CM761</f>
        <v>35</v>
      </c>
      <c r="Y1061" s="1795"/>
      <c r="AF1061" s="920"/>
      <c r="AG1061" s="921"/>
      <c r="AH1061" s="921"/>
      <c r="AI1061" s="922"/>
      <c r="AJ1061" s="1739"/>
      <c r="AK1061" s="1740"/>
      <c r="AL1061" s="1740"/>
      <c r="AM1061" s="1740"/>
      <c r="AN1061" s="1740"/>
      <c r="AO1061" s="1740"/>
      <c r="AP1061" s="1740"/>
      <c r="AQ1061" s="1741"/>
      <c r="AR1061" s="68"/>
      <c r="AS1061" s="68"/>
      <c r="AT1061" s="68"/>
      <c r="AU1061" s="68"/>
      <c r="AV1061" s="68"/>
      <c r="AW1061" s="68"/>
      <c r="AX1061" s="68"/>
      <c r="AY1061" s="68"/>
      <c r="AZ1061" s="958">
        <f>ROUNDDOWN(MAX(0,BA1061*(SUM(AG1102,AL1102,AZ1054)-BD1061))+BF1061,0)</f>
        <v>0</v>
      </c>
      <c r="BA1061" s="1175">
        <f>IF(L1051,7%,5%)</f>
        <v>0.05</v>
      </c>
      <c r="BB1061" s="3" t="s">
        <v>2416</v>
      </c>
      <c r="BC1061" s="3"/>
      <c r="BD1061" s="3">
        <v>6666667</v>
      </c>
    </row>
    <row r="1062" spans="1:56" ht="12.95" customHeight="1">
      <c r="A1062" s="14"/>
      <c r="B1062" s="102"/>
      <c r="C1062" s="103"/>
      <c r="D1062" s="1792" t="s">
        <v>513</v>
      </c>
      <c r="E1062" s="1792"/>
      <c r="F1062" s="1792"/>
      <c r="G1062" s="1792"/>
      <c r="H1062" s="1792"/>
      <c r="I1062" s="1792"/>
      <c r="J1062" s="1792"/>
      <c r="K1062" s="1792"/>
      <c r="L1062" s="1792"/>
      <c r="M1062" s="1792"/>
      <c r="N1062" s="1792"/>
      <c r="O1062" s="1792"/>
      <c r="P1062" s="1792"/>
      <c r="Q1062" s="1792"/>
      <c r="R1062" s="1792"/>
      <c r="S1062" s="1792"/>
      <c r="T1062" s="1792"/>
      <c r="U1062" s="1792"/>
      <c r="V1062" s="1792"/>
      <c r="W1062" s="1792"/>
      <c r="X1062" s="1792"/>
      <c r="Y1062" s="1792"/>
      <c r="Z1062" s="1792"/>
      <c r="AA1062" s="1792"/>
      <c r="AB1062" s="1792"/>
      <c r="AC1062" s="1792"/>
      <c r="AD1062" s="1792"/>
      <c r="AE1062" s="1792"/>
      <c r="AF1062" s="1792"/>
      <c r="AG1062" s="1792"/>
      <c r="AH1062" s="1792"/>
      <c r="AI1062" s="1793"/>
      <c r="AJ1062" s="1809">
        <f>SUM(AJ1001:AQ1061)</f>
        <v>142452248.22</v>
      </c>
      <c r="AK1062" s="1810"/>
      <c r="AL1062" s="1810"/>
      <c r="AM1062" s="1810"/>
      <c r="AN1062" s="1810"/>
      <c r="AO1062" s="1810"/>
      <c r="AP1062" s="1810"/>
      <c r="AQ1062" s="1811"/>
      <c r="AR1062" s="68"/>
      <c r="AS1062" s="68"/>
      <c r="AT1062" s="68"/>
      <c r="AU1062" s="68"/>
      <c r="AV1062" s="68"/>
      <c r="AW1062" s="68"/>
      <c r="AX1062" s="68"/>
      <c r="AY1062" s="68"/>
      <c r="AZ1062" s="1174">
        <v>6000000</v>
      </c>
      <c r="BA1062" s="3" t="s">
        <v>2417</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2418</v>
      </c>
      <c r="BC1064" s="3"/>
      <c r="BD1064" s="3"/>
    </row>
    <row r="1065" spans="1:56" ht="12.95" customHeight="1">
      <c r="A1065" s="14"/>
      <c r="B1065" s="68"/>
      <c r="C1065" s="68"/>
      <c r="D1065" s="68"/>
      <c r="E1065" s="68"/>
      <c r="F1065" s="68"/>
      <c r="G1065" s="1169" t="s">
        <v>2403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51657527</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6737938.3499999996</v>
      </c>
      <c r="BB1065" s="3" t="s">
        <v>2419</v>
      </c>
      <c r="BC1065" s="3"/>
      <c r="BD1065" s="3"/>
    </row>
    <row r="1066" spans="1:56" ht="12.95" customHeight="1">
      <c r="A1066" s="14"/>
      <c r="B1066" s="68"/>
      <c r="C1066" s="68"/>
      <c r="D1066" s="68"/>
      <c r="E1066" s="68"/>
      <c r="F1066" s="68"/>
      <c r="G1066" s="1169"/>
      <c r="H1066" s="1169" t="s">
        <v>2404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0.46048482091660986</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6737938</v>
      </c>
      <c r="BB1067" s="3" t="s">
        <v>2425</v>
      </c>
    </row>
    <row r="1068" spans="1:56" ht="12.95"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4237938</v>
      </c>
      <c r="BB1068" s="3" t="s">
        <v>2426</v>
      </c>
    </row>
    <row r="1069" spans="1:56" ht="12.95"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2.95" customHeight="1">
      <c r="A1070" s="1838" t="s">
        <v>794</v>
      </c>
      <c r="B1070" s="1838"/>
      <c r="C1070" s="1838"/>
      <c r="D1070" s="1838"/>
      <c r="E1070" s="1838"/>
      <c r="F1070" s="1838"/>
      <c r="G1070" s="1838"/>
      <c r="H1070" s="1838"/>
      <c r="I1070" s="1838"/>
      <c r="J1070" s="1838"/>
      <c r="K1070" s="1838"/>
      <c r="L1070" s="1838"/>
      <c r="M1070" s="1838"/>
      <c r="N1070" s="1838"/>
      <c r="O1070" s="1838"/>
      <c r="P1070" s="1838"/>
      <c r="Q1070" s="1838"/>
      <c r="R1070" s="1838"/>
      <c r="S1070" s="1838"/>
      <c r="T1070" s="1838"/>
      <c r="U1070" s="1838"/>
      <c r="V1070" s="1838"/>
      <c r="W1070" s="1838"/>
      <c r="X1070" s="1838"/>
      <c r="Y1070" s="1838"/>
      <c r="Z1070" s="1838"/>
      <c r="AA1070" s="1838"/>
      <c r="AB1070" s="1838"/>
      <c r="AC1070" s="1838"/>
      <c r="AD1070" s="1838"/>
      <c r="AE1070" s="1838"/>
      <c r="AF1070" s="1838"/>
      <c r="AG1070" s="1838"/>
      <c r="AH1070" s="1838"/>
      <c r="AI1070" s="1838"/>
      <c r="AJ1070" s="1838"/>
      <c r="AK1070" s="1838"/>
      <c r="AL1070" s="1838"/>
      <c r="AM1070" s="1838"/>
      <c r="AN1070" s="1838"/>
      <c r="AO1070" s="1838"/>
      <c r="AP1070" s="1838"/>
      <c r="AQ1070" s="1838"/>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426" t="s">
        <v>591</v>
      </c>
      <c r="B1074" s="1426"/>
      <c r="C1074" s="1867">
        <v>1</v>
      </c>
      <c r="D1074" s="1867"/>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67"/>
      <c r="D1075" s="186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426" t="s">
        <v>591</v>
      </c>
      <c r="B1076" s="1426"/>
      <c r="C1076" s="1867">
        <v>2</v>
      </c>
      <c r="D1076" s="1867"/>
      <c r="E1076" s="1868" t="s">
        <v>2192</v>
      </c>
      <c r="F1076" s="1868"/>
      <c r="G1076" s="1868"/>
      <c r="H1076" s="1868"/>
      <c r="I1076" s="1868"/>
      <c r="J1076" s="1868"/>
      <c r="K1076" s="1868"/>
      <c r="L1076" s="1868"/>
      <c r="M1076" s="1868"/>
      <c r="N1076" s="1868"/>
      <c r="O1076" s="1868"/>
      <c r="P1076" s="1868"/>
      <c r="Q1076" s="1868"/>
      <c r="R1076" s="1868"/>
      <c r="S1076" s="1868"/>
      <c r="T1076" s="1868"/>
      <c r="U1076" s="1868"/>
      <c r="V1076" s="1868"/>
      <c r="W1076" s="1868"/>
      <c r="X1076" s="1868"/>
      <c r="Y1076" s="1868"/>
      <c r="Z1076" s="1868"/>
      <c r="AA1076" s="1868"/>
      <c r="AB1076" s="1868"/>
      <c r="AC1076" s="1868"/>
      <c r="AD1076" s="1868"/>
      <c r="AE1076" s="1868"/>
      <c r="AF1076" s="1868"/>
      <c r="AG1076" s="1868"/>
      <c r="AH1076" s="1868"/>
      <c r="AI1076" s="1868"/>
      <c r="AJ1076" s="1868"/>
      <c r="AK1076" s="1868"/>
      <c r="AL1076" s="1868"/>
      <c r="AM1076" s="1868"/>
      <c r="AN1076" s="1868"/>
      <c r="AO1076" s="1868"/>
      <c r="AP1076" s="1868"/>
      <c r="AQ1076" s="1868"/>
      <c r="AR1076" s="1868"/>
      <c r="AS1076" s="14"/>
      <c r="AT1076" s="14"/>
      <c r="AV1076" s="68"/>
      <c r="AW1076" s="68"/>
      <c r="AX1076" s="68"/>
      <c r="AY1076" s="68"/>
    </row>
    <row r="1077" spans="1:51" ht="12.95" customHeight="1">
      <c r="A1077" s="198"/>
      <c r="B1077" s="67"/>
      <c r="C1077" s="1867"/>
      <c r="D1077" s="1867"/>
      <c r="E1077" s="1868"/>
      <c r="F1077" s="1868"/>
      <c r="G1077" s="1868"/>
      <c r="H1077" s="1868"/>
      <c r="I1077" s="1868"/>
      <c r="J1077" s="1868"/>
      <c r="K1077" s="1868"/>
      <c r="L1077" s="1868"/>
      <c r="M1077" s="1868"/>
      <c r="N1077" s="1868"/>
      <c r="O1077" s="1868"/>
      <c r="P1077" s="1868"/>
      <c r="Q1077" s="1868"/>
      <c r="R1077" s="1868"/>
      <c r="S1077" s="1868"/>
      <c r="T1077" s="1868"/>
      <c r="U1077" s="1868"/>
      <c r="V1077" s="1868"/>
      <c r="W1077" s="1868"/>
      <c r="X1077" s="1868"/>
      <c r="Y1077" s="1868"/>
      <c r="Z1077" s="1868"/>
      <c r="AA1077" s="1868"/>
      <c r="AB1077" s="1868"/>
      <c r="AC1077" s="1868"/>
      <c r="AD1077" s="1868"/>
      <c r="AE1077" s="1868"/>
      <c r="AF1077" s="1868"/>
      <c r="AG1077" s="1868"/>
      <c r="AH1077" s="1868"/>
      <c r="AI1077" s="1868"/>
      <c r="AJ1077" s="1868"/>
      <c r="AK1077" s="1868"/>
      <c r="AL1077" s="1868"/>
      <c r="AM1077" s="1868"/>
      <c r="AN1077" s="1868"/>
      <c r="AO1077" s="1868"/>
      <c r="AP1077" s="1868"/>
      <c r="AQ1077" s="1868"/>
      <c r="AR1077" s="1868"/>
      <c r="AS1077" s="14"/>
      <c r="AT1077" s="14"/>
      <c r="AV1077" s="68"/>
      <c r="AW1077" s="68"/>
      <c r="AX1077" s="68"/>
      <c r="AY1077" s="68"/>
    </row>
    <row r="1078" spans="1:51" ht="12.95" customHeight="1">
      <c r="A1078" s="198"/>
      <c r="B1078" s="67"/>
      <c r="C1078" s="1867"/>
      <c r="D1078" s="186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426" t="s">
        <v>591</v>
      </c>
      <c r="B1079" s="1426"/>
      <c r="C1079" s="1416">
        <v>3</v>
      </c>
      <c r="D1079" s="1416"/>
      <c r="E1079" s="1332" t="s">
        <v>1079</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5" customHeight="1">
      <c r="A1080" s="1"/>
      <c r="B1080" s="1"/>
      <c r="C1080" s="1416"/>
      <c r="D1080" s="1416"/>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5" customHeight="1">
      <c r="A1081" s="1"/>
      <c r="B1081" s="1"/>
      <c r="C1081" s="1416"/>
      <c r="D1081" s="1416"/>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5" customHeight="1">
      <c r="A1082" s="1"/>
      <c r="B1082" s="1"/>
      <c r="C1082" s="1416"/>
      <c r="D1082" s="1416"/>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5" customHeight="1">
      <c r="A1083" s="2"/>
      <c r="B1083" s="25"/>
      <c r="C1083" s="1416"/>
      <c r="D1083" s="1416"/>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426" t="s">
        <v>591</v>
      </c>
      <c r="B1084" s="1426"/>
      <c r="C1084" s="1416">
        <v>4</v>
      </c>
      <c r="D1084" s="1416"/>
      <c r="E1084" s="1332" t="s">
        <v>1078</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5" customHeight="1">
      <c r="A1085" s="1"/>
      <c r="B1085" s="1"/>
      <c r="C1085" s="1416"/>
      <c r="D1085" s="1416"/>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5" customHeight="1">
      <c r="A1086" s="1"/>
      <c r="B1086" s="1"/>
      <c r="C1086" s="1416"/>
      <c r="D1086" s="1416"/>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5" customHeight="1">
      <c r="A1087" s="1"/>
      <c r="B1087" s="1"/>
      <c r="C1087" s="1416"/>
      <c r="D1087" s="1416"/>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5" customHeight="1">
      <c r="A1088" s="1"/>
      <c r="B1088" s="1"/>
      <c r="C1088" s="1416"/>
      <c r="D1088" s="1416"/>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5" customHeight="1">
      <c r="A1089" s="1"/>
      <c r="B1089" s="1"/>
      <c r="C1089" s="1416"/>
      <c r="D1089" s="1416"/>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426" t="s">
        <v>591</v>
      </c>
      <c r="B1090" s="1426"/>
      <c r="C1090" s="1416">
        <v>5</v>
      </c>
      <c r="D1090" s="1416"/>
      <c r="E1090" s="1332" t="s">
        <v>2195</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5" customHeight="1">
      <c r="A1091" s="4"/>
      <c r="B1091" s="4"/>
      <c r="C1091" s="1416"/>
      <c r="D1091" s="1416"/>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5" customHeight="1">
      <c r="A1092" s="4"/>
      <c r="B1092" s="4"/>
      <c r="C1092" s="1416"/>
      <c r="D1092" s="1416"/>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5" customHeight="1">
      <c r="A1093" s="35"/>
      <c r="B1093" s="25"/>
      <c r="C1093" s="1416"/>
      <c r="D1093" s="141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426" t="s">
        <v>591</v>
      </c>
      <c r="B1094" s="1426"/>
      <c r="C1094" s="1416">
        <v>6</v>
      </c>
      <c r="D1094" s="1416"/>
      <c r="E1094" s="1332" t="s">
        <v>2196</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5"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5" customHeight="1">
      <c r="A1096" s="1"/>
      <c r="B1096" s="1"/>
      <c r="C1096" s="1416"/>
      <c r="D1096" s="1416"/>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5" customHeight="1">
      <c r="A1097" s="35"/>
      <c r="B1097" s="25"/>
      <c r="C1097" s="1416"/>
      <c r="D1097" s="1416"/>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426" t="s">
        <v>591</v>
      </c>
      <c r="B1098" s="1426"/>
      <c r="C1098" s="1416">
        <v>7</v>
      </c>
      <c r="D1098" s="1416"/>
      <c r="E1098" s="1332" t="s">
        <v>2094</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5" customHeight="1">
      <c r="A1099" s="1"/>
      <c r="B1099" s="1"/>
      <c r="C1099" s="1416"/>
      <c r="D1099" s="1416"/>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5" customHeight="1">
      <c r="A1100" s="1"/>
      <c r="B1100" s="1"/>
      <c r="C1100" s="1416"/>
      <c r="D1100" s="1416"/>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5" customHeight="1">
      <c r="A1101" s="1"/>
      <c r="B1101" s="1"/>
      <c r="C1101" s="1416"/>
      <c r="D1101" s="1416"/>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16"/>
      <c r="D1102" s="1416"/>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426" t="s">
        <v>591</v>
      </c>
      <c r="B1103" s="1426"/>
      <c r="C1103" s="1416">
        <v>8</v>
      </c>
      <c r="D1103" s="1416"/>
      <c r="E1103" s="1332" t="s">
        <v>1072</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5" customHeight="1">
      <c r="A1104" s="35"/>
      <c r="B1104" s="25"/>
      <c r="C1104" s="1416"/>
      <c r="D1104" s="1416"/>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5" customHeight="1">
      <c r="A1105" s="35"/>
      <c r="B1105" s="25"/>
      <c r="C1105" s="1416"/>
      <c r="D1105" s="1416"/>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426" t="s">
        <v>591</v>
      </c>
      <c r="B1106" s="1426"/>
      <c r="C1106" s="1867">
        <v>9</v>
      </c>
      <c r="D1106" s="1867"/>
      <c r="E1106" s="1332" t="s">
        <v>1074</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5" customHeight="1">
      <c r="A1107" s="1"/>
      <c r="B1107" s="1"/>
      <c r="C1107" s="1867"/>
      <c r="D1107" s="1867"/>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5" customHeight="1">
      <c r="A1108" s="35"/>
      <c r="B1108" s="25"/>
      <c r="C1108" s="1867"/>
      <c r="D1108" s="186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426" t="s">
        <v>591</v>
      </c>
      <c r="B1109" s="1426"/>
      <c r="C1109" s="1867">
        <v>10</v>
      </c>
      <c r="D1109" s="1867"/>
      <c r="E1109" s="1334" t="s">
        <v>2193</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5"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426" t="s">
        <v>591</v>
      </c>
      <c r="B1112" s="1426"/>
      <c r="C1112" s="1867">
        <v>11</v>
      </c>
      <c r="D1112" s="1867"/>
      <c r="E1112" s="1334" t="s">
        <v>2194</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5"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426" t="s">
        <v>591</v>
      </c>
      <c r="B1134" s="1426"/>
      <c r="C1134" s="199">
        <v>9</v>
      </c>
      <c r="D1134" s="1266" t="s">
        <v>1073</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R996:AA996"/>
    <mergeCell ref="AB995:AI995"/>
    <mergeCell ref="AG1038:AH1038"/>
    <mergeCell ref="D1046:AE1049"/>
    <mergeCell ref="D1054:AE1054"/>
    <mergeCell ref="D1023:AE1024"/>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1:D1091"/>
    <mergeCell ref="C1092:D1092"/>
    <mergeCell ref="C1093:D1093"/>
    <mergeCell ref="C1094:D1094"/>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1008:AE1008"/>
    <mergeCell ref="AC736:AG736"/>
    <mergeCell ref="AC740:AG740"/>
    <mergeCell ref="X741:AB741"/>
    <mergeCell ref="G740:J740"/>
    <mergeCell ref="AH743:AJ743"/>
    <mergeCell ref="X742:AB742"/>
    <mergeCell ref="K736:N736"/>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G652:R652"/>
    <mergeCell ref="H680:R680"/>
    <mergeCell ref="G659:R659"/>
    <mergeCell ref="J712:X712"/>
    <mergeCell ref="H672:R672"/>
    <mergeCell ref="G686:R686"/>
    <mergeCell ref="P687:R687"/>
    <mergeCell ref="G653:R653"/>
    <mergeCell ref="G654:R654"/>
    <mergeCell ref="G655:L655"/>
    <mergeCell ref="H656:R656"/>
    <mergeCell ref="AC646:AE646"/>
    <mergeCell ref="AG591:AH591"/>
    <mergeCell ref="G596:R596"/>
    <mergeCell ref="Z588:AK588"/>
    <mergeCell ref="Z603:AK603"/>
    <mergeCell ref="G611:R611"/>
    <mergeCell ref="AC637:AE637"/>
    <mergeCell ref="M632:P634"/>
    <mergeCell ref="G605:L605"/>
    <mergeCell ref="Z619:AK619"/>
    <mergeCell ref="AC526:AF526"/>
    <mergeCell ref="AH512:AK512"/>
    <mergeCell ref="AM572:AS572"/>
    <mergeCell ref="AM574:AS574"/>
    <mergeCell ref="G577:R577"/>
    <mergeCell ref="G578:R578"/>
    <mergeCell ref="G579:R579"/>
    <mergeCell ref="AO638:AS638"/>
    <mergeCell ref="Z609:AK609"/>
    <mergeCell ref="Q640:S640"/>
    <mergeCell ref="Q632:S634"/>
    <mergeCell ref="M573:P573"/>
    <mergeCell ref="AO645:AS645"/>
    <mergeCell ref="G667:R667"/>
    <mergeCell ref="P679:R679"/>
    <mergeCell ref="Q639:S639"/>
    <mergeCell ref="T640:V640"/>
    <mergeCell ref="A69:AT70"/>
    <mergeCell ref="A72:AT73"/>
    <mergeCell ref="Z443:AA443"/>
    <mergeCell ref="AG455:AJ455"/>
    <mergeCell ref="W475:Y475"/>
    <mergeCell ref="W478:Y478"/>
    <mergeCell ref="D479:V479"/>
    <mergeCell ref="AA345:AK345"/>
    <mergeCell ref="W569:Y569"/>
    <mergeCell ref="Q493:AK493"/>
    <mergeCell ref="W482:Y482"/>
    <mergeCell ref="Q638:S638"/>
    <mergeCell ref="AH509:AK509"/>
    <mergeCell ref="G482:V482"/>
    <mergeCell ref="M569:P569"/>
    <mergeCell ref="C573:L573"/>
    <mergeCell ref="W566:Y566"/>
    <mergeCell ref="AE566:AH566"/>
    <mergeCell ref="C565:L565"/>
    <mergeCell ref="G601:R601"/>
    <mergeCell ref="AI605:AK605"/>
    <mergeCell ref="A625:AT626"/>
    <mergeCell ref="B632:L634"/>
    <mergeCell ref="AM573:AS573"/>
    <mergeCell ref="AE571:AH571"/>
    <mergeCell ref="AM571:AS571"/>
    <mergeCell ref="AO636:AS636"/>
    <mergeCell ref="AG615:AH615"/>
    <mergeCell ref="AO632:AS634"/>
    <mergeCell ref="AC638:AE638"/>
    <mergeCell ref="AI567:AL567"/>
    <mergeCell ref="AC511:AF51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K635:AN635"/>
    <mergeCell ref="AE564:AH564"/>
    <mergeCell ref="AE567:AH567"/>
    <mergeCell ref="AC524:AF524"/>
    <mergeCell ref="AI621:AK621"/>
    <mergeCell ref="AA622:AK622"/>
    <mergeCell ref="AC632:AE634"/>
    <mergeCell ref="AH517:AK517"/>
    <mergeCell ref="AM566:AS566"/>
    <mergeCell ref="AF635:AJ635"/>
    <mergeCell ref="AH525:AK525"/>
    <mergeCell ref="AC515:AF515"/>
    <mergeCell ref="AJ366:AK366"/>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W473:Y473"/>
    <mergeCell ref="C646:L646"/>
    <mergeCell ref="Z694:AK694"/>
    <mergeCell ref="Z683:AK683"/>
    <mergeCell ref="AK636:AN636"/>
    <mergeCell ref="G660:R660"/>
    <mergeCell ref="AA656:AK656"/>
    <mergeCell ref="AK645:AN645"/>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AK734:AO734"/>
    <mergeCell ref="DJ742:DN742"/>
    <mergeCell ref="CP797:CT797"/>
    <mergeCell ref="CP795:CT795"/>
    <mergeCell ref="AK758:AO758"/>
    <mergeCell ref="DJ735:DN735"/>
    <mergeCell ref="DJ734:DN734"/>
    <mergeCell ref="CI733:CJ733"/>
    <mergeCell ref="CM732:CN732"/>
    <mergeCell ref="CP731:CT731"/>
    <mergeCell ref="CU735:CY735"/>
    <mergeCell ref="CK732:CL732"/>
    <mergeCell ref="CK735:CL735"/>
    <mergeCell ref="CK743:CL743"/>
    <mergeCell ref="CP740:CT740"/>
    <mergeCell ref="DJ746:DN746"/>
    <mergeCell ref="AK745:AO745"/>
    <mergeCell ref="AK744:AO744"/>
    <mergeCell ref="DE761:DI761"/>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DZ729:ED729"/>
    <mergeCell ref="DZ730:ED730"/>
    <mergeCell ref="DU725:DY725"/>
    <mergeCell ref="DU747:DY747"/>
    <mergeCell ref="DZ747:ED747"/>
    <mergeCell ref="DO733:DS733"/>
    <mergeCell ref="DU731:DY731"/>
    <mergeCell ref="EJ737:EN737"/>
    <mergeCell ref="EJ725:EN725"/>
    <mergeCell ref="EO740:ES740"/>
    <mergeCell ref="DO759:DS759"/>
    <mergeCell ref="DO745:DS745"/>
    <mergeCell ref="ER657:EV657"/>
    <mergeCell ref="DJ728:DN728"/>
    <mergeCell ref="DJ725:DN725"/>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CP761:CT761"/>
    <mergeCell ref="DE784:DI784"/>
    <mergeCell ref="DJ754:DN754"/>
    <mergeCell ref="DE758:DI758"/>
    <mergeCell ref="DJ758:DN758"/>
    <mergeCell ref="DO782:DS782"/>
    <mergeCell ref="DU761:DY761"/>
    <mergeCell ref="EZ760:FD760"/>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K759:CL759"/>
    <mergeCell ref="CP783:CT783"/>
    <mergeCell ref="CP784:CT784"/>
    <mergeCell ref="EE760:EI760"/>
    <mergeCell ref="DU746:DY746"/>
    <mergeCell ref="EO761:ES761"/>
    <mergeCell ref="EJ748:EN748"/>
    <mergeCell ref="EO753:ES753"/>
    <mergeCell ref="DE752:DI752"/>
    <mergeCell ref="DZ761:ED761"/>
    <mergeCell ref="DZ746:ED746"/>
    <mergeCell ref="EE746:EI746"/>
    <mergeCell ref="EJ746:EN746"/>
    <mergeCell ref="DE743:DI743"/>
    <mergeCell ref="DO746:DS746"/>
    <mergeCell ref="DU744:DY744"/>
    <mergeCell ref="EE745:EI745"/>
    <mergeCell ref="EJ745:EN745"/>
    <mergeCell ref="DZ744:ED744"/>
    <mergeCell ref="EE744:EI744"/>
    <mergeCell ref="EJ744:EN744"/>
    <mergeCell ref="EE747:EI747"/>
    <mergeCell ref="DO761:DS761"/>
    <mergeCell ref="EJ747:EN747"/>
    <mergeCell ref="EO745:ES745"/>
    <mergeCell ref="EO748:ES748"/>
    <mergeCell ref="EO746:ES746"/>
    <mergeCell ref="DE746:DI746"/>
    <mergeCell ref="EO744:ES744"/>
    <mergeCell ref="DO743:DS743"/>
    <mergeCell ref="DO744:DS744"/>
    <mergeCell ref="DU745:DY745"/>
    <mergeCell ref="DU743:DY74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EJ743:EN743"/>
    <mergeCell ref="EO743:ES743"/>
    <mergeCell ref="DZ743:ED743"/>
    <mergeCell ref="ET745:EX745"/>
    <mergeCell ref="EJ761:EN761"/>
    <mergeCell ref="DO748:DS748"/>
    <mergeCell ref="DJ748:DN748"/>
    <mergeCell ref="DO762:DS762"/>
    <mergeCell ref="DO738:DS738"/>
    <mergeCell ref="DO739:DS739"/>
    <mergeCell ref="EO739:ES739"/>
    <mergeCell ref="DZ732:ED732"/>
    <mergeCell ref="DE729:DI729"/>
    <mergeCell ref="DE731:DI731"/>
    <mergeCell ref="EW677:FA677"/>
    <mergeCell ref="EH661:EL661"/>
    <mergeCell ref="EM661:EQ661"/>
    <mergeCell ref="ER661:EV661"/>
    <mergeCell ref="EW663:FA663"/>
    <mergeCell ref="ER663:EV663"/>
    <mergeCell ref="DO728:DS728"/>
    <mergeCell ref="EH671:EL671"/>
    <mergeCell ref="DO735:DS735"/>
    <mergeCell ref="DO736:DS736"/>
    <mergeCell ref="DO731:DS731"/>
    <mergeCell ref="DO732:DS732"/>
    <mergeCell ref="DU730:DY730"/>
    <mergeCell ref="ER676:EV676"/>
    <mergeCell ref="EC661:EG661"/>
    <mergeCell ref="EM676:EQ676"/>
    <mergeCell ref="EM672:EQ672"/>
    <mergeCell ref="ER672:EV672"/>
    <mergeCell ref="EC675:EG675"/>
    <mergeCell ref="EH675:EL675"/>
    <mergeCell ref="EM674:EQ674"/>
    <mergeCell ref="EW673:FA673"/>
    <mergeCell ref="EC671:EG671"/>
    <mergeCell ref="DJ730:DN730"/>
    <mergeCell ref="EW668:FA668"/>
    <mergeCell ref="DX669:EB669"/>
    <mergeCell ref="EW674:FA674"/>
    <mergeCell ref="EW662:FA662"/>
    <mergeCell ref="ER669:EV669"/>
    <mergeCell ref="EW660:FA660"/>
    <mergeCell ref="EM669:EQ669"/>
    <mergeCell ref="ER678:EV678"/>
    <mergeCell ref="DX677:EB677"/>
    <mergeCell ref="DO729:DS729"/>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E733:EI733"/>
    <mergeCell ref="EM678:EQ678"/>
    <mergeCell ref="EW678:FA678"/>
    <mergeCell ref="EW664:FA664"/>
    <mergeCell ref="EZ734:FD734"/>
    <mergeCell ref="DX650:EB650"/>
    <mergeCell ref="ER659:EV659"/>
    <mergeCell ref="ER660:EV660"/>
    <mergeCell ref="DX653:EB653"/>
    <mergeCell ref="EW649:FA649"/>
    <mergeCell ref="DX655:EB655"/>
    <mergeCell ref="EM649:EQ649"/>
    <mergeCell ref="EH656:EL656"/>
    <mergeCell ref="EW647:FA647"/>
    <mergeCell ref="EC648:EG648"/>
    <mergeCell ref="EW648:FA648"/>
    <mergeCell ref="ER651:EV651"/>
    <mergeCell ref="ER648:EV648"/>
    <mergeCell ref="EW655:FA655"/>
    <mergeCell ref="EW658:FA658"/>
    <mergeCell ref="EW656:FA656"/>
    <mergeCell ref="EW659:FA659"/>
    <mergeCell ref="EW657:FA657"/>
    <mergeCell ref="EM657:EQ657"/>
    <mergeCell ref="EM660:EQ660"/>
    <mergeCell ref="DX658:EB658"/>
    <mergeCell ref="EC658:EG658"/>
    <mergeCell ref="ER658:EV658"/>
    <mergeCell ref="EM658:EQ658"/>
    <mergeCell ref="EC659:EG659"/>
    <mergeCell ref="EH659:EL659"/>
    <mergeCell ref="EH658:EL658"/>
    <mergeCell ref="EW672:FA672"/>
    <mergeCell ref="EE734:EI734"/>
    <mergeCell ref="EJ734:EN734"/>
    <mergeCell ref="EM662:EQ662"/>
    <mergeCell ref="ER662:EV662"/>
    <mergeCell ref="EC663:EG663"/>
    <mergeCell ref="DX675:EB675"/>
    <mergeCell ref="EW669:FA669"/>
    <mergeCell ref="EM670:EQ670"/>
    <mergeCell ref="ER670:EV670"/>
    <mergeCell ref="ER677:EV677"/>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DX652:EB652"/>
    <mergeCell ref="ER674:EV674"/>
    <mergeCell ref="ER647:EV647"/>
    <mergeCell ref="EM664:EQ664"/>
    <mergeCell ref="EH650:EL650"/>
    <mergeCell ref="EM650:EQ650"/>
    <mergeCell ref="ER650:EV650"/>
    <mergeCell ref="DX649:EB649"/>
    <mergeCell ref="EC652:EG652"/>
    <mergeCell ref="EH652:EL652"/>
    <mergeCell ref="EO728:ES728"/>
    <mergeCell ref="DZ738:ED738"/>
    <mergeCell ref="EE738:EI738"/>
    <mergeCell ref="EJ738:EN738"/>
    <mergeCell ref="DU737:DY737"/>
    <mergeCell ref="EM655:EQ655"/>
    <mergeCell ref="EH651:EL651"/>
    <mergeCell ref="EM651:EQ651"/>
    <mergeCell ref="EC656:EG656"/>
    <mergeCell ref="DX661:EB661"/>
    <mergeCell ref="DX662:EB662"/>
    <mergeCell ref="DX659:EB659"/>
    <mergeCell ref="DX678:EB678"/>
    <mergeCell ref="ER664:EV664"/>
    <mergeCell ref="EC677:EG677"/>
    <mergeCell ref="EH677:EL677"/>
    <mergeCell ref="EM677:EQ677"/>
    <mergeCell ref="DX672:EB672"/>
    <mergeCell ref="EO735:ES735"/>
    <mergeCell ref="EJ727:EN727"/>
    <mergeCell ref="DU733:DY733"/>
    <mergeCell ref="DZ733:ED733"/>
    <mergeCell ref="EH654:EL654"/>
    <mergeCell ref="EM675:EQ675"/>
    <mergeCell ref="ER675:EV67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FJ736:FN736"/>
    <mergeCell ref="FO736:FS736"/>
    <mergeCell ref="EE740:EI740"/>
    <mergeCell ref="EJ740:EN740"/>
    <mergeCell ref="FJ733:FN733"/>
    <mergeCell ref="EO729:ES729"/>
    <mergeCell ref="EJ733:EN733"/>
    <mergeCell ref="EJ739:EN739"/>
    <mergeCell ref="ET731:EX731"/>
    <mergeCell ref="DZ735:ED735"/>
    <mergeCell ref="EE735:EI735"/>
    <mergeCell ref="EE731:EI731"/>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34:GC734"/>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EW676:FA676"/>
    <mergeCell ref="ET737:EX737"/>
    <mergeCell ref="FT736:FX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55:GC755"/>
    <mergeCell ref="FT756:FX756"/>
    <mergeCell ref="FO755:FS755"/>
    <mergeCell ref="FT755:FX755"/>
    <mergeCell ref="FT744:FX744"/>
    <mergeCell ref="FT754:FX754"/>
    <mergeCell ref="FY754:GC754"/>
    <mergeCell ref="FE754:FI754"/>
    <mergeCell ref="FJ754:FN754"/>
    <mergeCell ref="FO754:FS754"/>
    <mergeCell ref="FO751:FS751"/>
    <mergeCell ref="FT751:FX751"/>
    <mergeCell ref="FJ748:FN748"/>
    <mergeCell ref="FE741:FI741"/>
    <mergeCell ref="FJ751:FN751"/>
    <mergeCell ref="EZ755:FD755"/>
    <mergeCell ref="FE755:FI755"/>
    <mergeCell ref="FJ743:FN743"/>
    <mergeCell ref="FT758:FX758"/>
    <mergeCell ref="FY758:GC758"/>
    <mergeCell ref="EZ747:FD747"/>
    <mergeCell ref="FT757:FX757"/>
    <mergeCell ref="FE744:FI744"/>
    <mergeCell ref="FJ744:FN744"/>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Y740:GC740"/>
    <mergeCell ref="FO744:FS744"/>
    <mergeCell ref="DO747:DS747"/>
    <mergeCell ref="CG744:CH744"/>
    <mergeCell ref="CI748:CJ748"/>
    <mergeCell ref="ET744:EX744"/>
    <mergeCell ref="EE743:EI743"/>
    <mergeCell ref="EJ742:EN742"/>
    <mergeCell ref="EE741:EI741"/>
    <mergeCell ref="ET740:EX740"/>
    <mergeCell ref="DU738:DY738"/>
    <mergeCell ref="EE736:EI736"/>
    <mergeCell ref="EJ736:EN736"/>
    <mergeCell ref="AC755:AG755"/>
    <mergeCell ref="DO740:DS740"/>
    <mergeCell ref="DU739:DY739"/>
    <mergeCell ref="FJ755:FN755"/>
    <mergeCell ref="FY735:GC735"/>
    <mergeCell ref="FE735:FI735"/>
    <mergeCell ref="FJ735:FN735"/>
    <mergeCell ref="FO735:FS735"/>
    <mergeCell ref="FT735:FX735"/>
    <mergeCell ref="FJ734:FN734"/>
    <mergeCell ref="FO734:FS734"/>
    <mergeCell ref="FT734:FX734"/>
    <mergeCell ref="DU734:DY734"/>
    <mergeCell ref="CI735:CJ735"/>
    <mergeCell ref="CP734:CT734"/>
    <mergeCell ref="DE735:DI735"/>
    <mergeCell ref="T760:W760"/>
    <mergeCell ref="T746:W746"/>
    <mergeCell ref="O748:S748"/>
    <mergeCell ref="K749:N749"/>
    <mergeCell ref="X748:AB748"/>
    <mergeCell ref="K759:N759"/>
    <mergeCell ref="O759:S759"/>
    <mergeCell ref="DJ738:DN738"/>
    <mergeCell ref="CZ740:DD740"/>
    <mergeCell ref="DJ736:DN736"/>
    <mergeCell ref="DE745:DI745"/>
    <mergeCell ref="CG749:CH749"/>
    <mergeCell ref="CU744:CY744"/>
    <mergeCell ref="DE738:DI738"/>
    <mergeCell ref="O750:S750"/>
    <mergeCell ref="AH759:AJ759"/>
    <mergeCell ref="K754:N754"/>
    <mergeCell ref="T754:W754"/>
    <mergeCell ref="X740:AB740"/>
    <mergeCell ref="K742:N742"/>
    <mergeCell ref="CU746:CY746"/>
    <mergeCell ref="CP741:CT741"/>
    <mergeCell ref="CP749:CT749"/>
    <mergeCell ref="CK737:CL737"/>
    <mergeCell ref="CP738:CT738"/>
    <mergeCell ref="CU739:CY739"/>
    <mergeCell ref="CM736:CN736"/>
    <mergeCell ref="CU741:CY741"/>
    <mergeCell ref="CU749:CY749"/>
    <mergeCell ref="CI736:CJ736"/>
    <mergeCell ref="AH736:AJ736"/>
    <mergeCell ref="CG742:CH742"/>
    <mergeCell ref="FT759:FX759"/>
    <mergeCell ref="D1003:AE1003"/>
    <mergeCell ref="D1009:AE1009"/>
    <mergeCell ref="D1011:AE1015"/>
    <mergeCell ref="D1020:AE1020"/>
    <mergeCell ref="D1021:AE1021"/>
    <mergeCell ref="R997:AA997"/>
    <mergeCell ref="D999:Q999"/>
    <mergeCell ref="AB998:AI998"/>
    <mergeCell ref="O983:P983"/>
    <mergeCell ref="AA977:AG977"/>
    <mergeCell ref="AE964:AK964"/>
    <mergeCell ref="I959:T959"/>
    <mergeCell ref="D1004:AE1007"/>
    <mergeCell ref="AK748:AO748"/>
    <mergeCell ref="AK749:AO749"/>
    <mergeCell ref="AK760:AO760"/>
    <mergeCell ref="O749:S749"/>
    <mergeCell ref="O758:S758"/>
    <mergeCell ref="K753:N753"/>
    <mergeCell ref="T748:W748"/>
    <mergeCell ref="G749:J749"/>
    <mergeCell ref="M971:S971"/>
    <mergeCell ref="AA934:AF934"/>
    <mergeCell ref="AE967:AK967"/>
    <mergeCell ref="F925:T926"/>
    <mergeCell ref="F948:T948"/>
    <mergeCell ref="AB997:AI997"/>
    <mergeCell ref="R995:AA995"/>
    <mergeCell ref="T759:W759"/>
    <mergeCell ref="K756:N756"/>
    <mergeCell ref="M968:S96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FJ729:FN729"/>
    <mergeCell ref="FO729:FS729"/>
    <mergeCell ref="FE728:FI728"/>
    <mergeCell ref="FJ728:FN728"/>
    <mergeCell ref="FO728:FS728"/>
    <mergeCell ref="EZ725:FD725"/>
    <mergeCell ref="FE725:FI725"/>
    <mergeCell ref="FJ725:FN725"/>
    <mergeCell ref="FO725:FS725"/>
    <mergeCell ref="FY729:GC729"/>
    <mergeCell ref="EZ730:FD730"/>
    <mergeCell ref="FE730:FI730"/>
    <mergeCell ref="FJ730:FN73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6:AI996"/>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D1010:AE1010"/>
    <mergeCell ref="AB999:AI999"/>
    <mergeCell ref="AA955:AF955"/>
    <mergeCell ref="U955:Z955"/>
    <mergeCell ref="F955:H955"/>
    <mergeCell ref="AA976:AG976"/>
    <mergeCell ref="F937:T937"/>
    <mergeCell ref="U935:Z935"/>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49:AJ749"/>
    <mergeCell ref="X749:AB749"/>
    <mergeCell ref="T982:Z982"/>
    <mergeCell ref="I956:T956"/>
    <mergeCell ref="AK746:AO746"/>
    <mergeCell ref="G744:J744"/>
    <mergeCell ref="J966:S966"/>
    <mergeCell ref="AE968:AK968"/>
    <mergeCell ref="B743:F743"/>
    <mergeCell ref="B746:F746"/>
    <mergeCell ref="K757:N757"/>
    <mergeCell ref="O757:S757"/>
    <mergeCell ref="X759:AB759"/>
    <mergeCell ref="AH761:AJ761"/>
    <mergeCell ref="AK753:AO753"/>
    <mergeCell ref="K755:N755"/>
    <mergeCell ref="AH758:AJ758"/>
    <mergeCell ref="B760:F760"/>
    <mergeCell ref="B759:F759"/>
    <mergeCell ref="B750:F750"/>
    <mergeCell ref="B751:F751"/>
    <mergeCell ref="B744:F744"/>
    <mergeCell ref="O747:S747"/>
    <mergeCell ref="O744:S744"/>
    <mergeCell ref="T744:W744"/>
    <mergeCell ref="J796:N796"/>
    <mergeCell ref="G747:J747"/>
    <mergeCell ref="O799:S799"/>
    <mergeCell ref="O755:S755"/>
    <mergeCell ref="T755:W755"/>
    <mergeCell ref="AC756:AG756"/>
    <mergeCell ref="T750:W750"/>
    <mergeCell ref="X753:AB753"/>
    <mergeCell ref="AC747:AG747"/>
    <mergeCell ref="AC746:AG746"/>
    <mergeCell ref="U929:Z929"/>
    <mergeCell ref="W869:AC869"/>
    <mergeCell ref="C904:AB904"/>
    <mergeCell ref="O741:S741"/>
    <mergeCell ref="G741:J741"/>
    <mergeCell ref="G742:J742"/>
    <mergeCell ref="O743:S743"/>
    <mergeCell ref="X738:AB738"/>
    <mergeCell ref="K738:N738"/>
    <mergeCell ref="X743:AB743"/>
    <mergeCell ref="X744:AB744"/>
    <mergeCell ref="T743:W743"/>
    <mergeCell ref="T742:W742"/>
    <mergeCell ref="T738:W738"/>
    <mergeCell ref="T749:W749"/>
    <mergeCell ref="O740:S740"/>
    <mergeCell ref="G745:J745"/>
    <mergeCell ref="G743:J743"/>
    <mergeCell ref="K751:N751"/>
    <mergeCell ref="K748:N748"/>
    <mergeCell ref="B739:F739"/>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G738:J738"/>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F935:T935"/>
    <mergeCell ref="F936:T936"/>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F951:T951"/>
    <mergeCell ref="U951:Z951"/>
    <mergeCell ref="M964:S964"/>
    <mergeCell ref="F938:T938"/>
    <mergeCell ref="AC896:AH896"/>
    <mergeCell ref="AC894:AH894"/>
    <mergeCell ref="U941:Z941"/>
    <mergeCell ref="AA941:AF941"/>
    <mergeCell ref="F947:T947"/>
    <mergeCell ref="AA951:AF951"/>
    <mergeCell ref="U933:Z933"/>
    <mergeCell ref="U942:Z942"/>
    <mergeCell ref="U943:Z943"/>
    <mergeCell ref="F939:T939"/>
    <mergeCell ref="F940:T940"/>
    <mergeCell ref="U945:Z945"/>
    <mergeCell ref="F949:T949"/>
    <mergeCell ref="U948:Z948"/>
    <mergeCell ref="AE970:AK970"/>
    <mergeCell ref="AA957:AF957"/>
    <mergeCell ref="M976:S976"/>
    <mergeCell ref="AA953:AF953"/>
    <mergeCell ref="W851:AC851"/>
    <mergeCell ref="M885:V885"/>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M886:V886"/>
    <mergeCell ref="U834:X834"/>
    <mergeCell ref="Y809:AC809"/>
    <mergeCell ref="Y808:AC808"/>
    <mergeCell ref="O796:S796"/>
    <mergeCell ref="J800:N800"/>
    <mergeCell ref="Z814:AE814"/>
    <mergeCell ref="X799:AB799"/>
    <mergeCell ref="Z823:AE823"/>
    <mergeCell ref="Z816:AE816"/>
    <mergeCell ref="AC785:AG785"/>
    <mergeCell ref="T802:W802"/>
    <mergeCell ref="T800:W800"/>
    <mergeCell ref="O785:S785"/>
    <mergeCell ref="X796:AB796"/>
    <mergeCell ref="Y835:AB835"/>
    <mergeCell ref="AG835:AJ835"/>
    <mergeCell ref="Q837:T837"/>
    <mergeCell ref="K746:N746"/>
    <mergeCell ref="CG759:CH759"/>
    <mergeCell ref="BI849:BL849"/>
    <mergeCell ref="CK744:CL744"/>
    <mergeCell ref="CK740:CL740"/>
    <mergeCell ref="CK752:CL752"/>
    <mergeCell ref="CM752:CN752"/>
    <mergeCell ref="CI750:CJ750"/>
    <mergeCell ref="K739:N739"/>
    <mergeCell ref="W878:AC878"/>
    <mergeCell ref="AC893:AH893"/>
    <mergeCell ref="W886:AC886"/>
    <mergeCell ref="AC800:AG800"/>
    <mergeCell ref="O795:S795"/>
    <mergeCell ref="Q834:T834"/>
    <mergeCell ref="Y831:AB832"/>
    <mergeCell ref="M837:P837"/>
    <mergeCell ref="CG760:CH760"/>
    <mergeCell ref="AC839:AF839"/>
    <mergeCell ref="AH742:AJ742"/>
    <mergeCell ref="X745:AB745"/>
    <mergeCell ref="X798:AB798"/>
    <mergeCell ref="U839:X839"/>
    <mergeCell ref="CK750:CL750"/>
    <mergeCell ref="CM741:CN741"/>
    <mergeCell ref="CI741:CJ741"/>
    <mergeCell ref="CK739:CL739"/>
    <mergeCell ref="CM740:CN740"/>
    <mergeCell ref="AC744:AG744"/>
    <mergeCell ref="CK742:CL742"/>
    <mergeCell ref="CM742:CN742"/>
    <mergeCell ref="CK746:CL746"/>
    <mergeCell ref="CI739:CJ739"/>
    <mergeCell ref="AK739:AO739"/>
    <mergeCell ref="CU782:CY782"/>
    <mergeCell ref="X791:AB794"/>
    <mergeCell ref="X795:AB795"/>
    <mergeCell ref="X804:AB804"/>
    <mergeCell ref="Y837:AB837"/>
    <mergeCell ref="CG746:CH746"/>
    <mergeCell ref="CK747:CL747"/>
    <mergeCell ref="M834:P834"/>
    <mergeCell ref="M880:V880"/>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G750:CH750"/>
    <mergeCell ref="CK749:CL749"/>
    <mergeCell ref="CM749:CN749"/>
    <mergeCell ref="CU742:CY742"/>
    <mergeCell ref="CP744:CT744"/>
    <mergeCell ref="CM745:CN745"/>
    <mergeCell ref="CU745:CY745"/>
    <mergeCell ref="CM744:CN744"/>
    <mergeCell ref="CI746:CJ746"/>
    <mergeCell ref="DG122:DM122"/>
    <mergeCell ref="CU122:CV122"/>
    <mergeCell ref="AH722:AJ725"/>
    <mergeCell ref="AH733:AJ733"/>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DJ740:DN740"/>
    <mergeCell ref="AA688:AK688"/>
    <mergeCell ref="Z670:AK670"/>
    <mergeCell ref="AK639:AN639"/>
    <mergeCell ref="AK640:AN640"/>
    <mergeCell ref="AF640:AJ640"/>
    <mergeCell ref="AC639:AE639"/>
    <mergeCell ref="AC642:AE642"/>
    <mergeCell ref="CZ728:DD728"/>
    <mergeCell ref="AK726:AO726"/>
    <mergeCell ref="Z661:AK661"/>
    <mergeCell ref="AF641:AJ641"/>
    <mergeCell ref="CG735:CH735"/>
    <mergeCell ref="CI731:CJ731"/>
    <mergeCell ref="AC730:AG730"/>
    <mergeCell ref="AK730:AO730"/>
    <mergeCell ref="EC672:EG672"/>
    <mergeCell ref="CU726:CY726"/>
    <mergeCell ref="CP725:CT725"/>
    <mergeCell ref="AH726:AJ726"/>
    <mergeCell ref="AC726:AG726"/>
    <mergeCell ref="Z679:AE679"/>
    <mergeCell ref="DZ739:ED739"/>
    <mergeCell ref="EE739:EI739"/>
    <mergeCell ref="DU740:DY740"/>
    <mergeCell ref="DZ734:ED734"/>
    <mergeCell ref="DU736:DY736"/>
    <mergeCell ref="DZ731:ED731"/>
    <mergeCell ref="EE730:EI730"/>
    <mergeCell ref="EE727:EI727"/>
    <mergeCell ref="DZ728:ED728"/>
    <mergeCell ref="AC737:AG737"/>
    <mergeCell ref="AF646:AJ646"/>
    <mergeCell ref="Z675:AK675"/>
    <mergeCell ref="CU740:CY740"/>
    <mergeCell ref="DX664:EB664"/>
    <mergeCell ref="EC664:EG664"/>
    <mergeCell ref="EH664:EL664"/>
    <mergeCell ref="EJ731:EN731"/>
    <mergeCell ref="DX657:EB657"/>
    <mergeCell ref="DX663:EB663"/>
    <mergeCell ref="CP727:CT727"/>
    <mergeCell ref="DZ736:ED736"/>
    <mergeCell ref="EE732:EI732"/>
    <mergeCell ref="AK736:AO736"/>
    <mergeCell ref="CZ727:DD727"/>
    <mergeCell ref="DJ737:DN737"/>
    <mergeCell ref="DE727:DI72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Z740:ED740"/>
    <mergeCell ref="DJ757:DN757"/>
    <mergeCell ref="DZ742:ED742"/>
    <mergeCell ref="DO741:DS741"/>
    <mergeCell ref="CZ743:DD743"/>
    <mergeCell ref="CZ746:DD746"/>
    <mergeCell ref="CZ749:DD749"/>
    <mergeCell ref="CZ748:DD748"/>
    <mergeCell ref="CZ747:DD747"/>
    <mergeCell ref="DE740:DI740"/>
    <mergeCell ref="DZ741:ED741"/>
    <mergeCell ref="DO760:DS760"/>
    <mergeCell ref="DE759:DI759"/>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DE730:DI730"/>
    <mergeCell ref="EJ732:EN732"/>
    <mergeCell ref="EO731:ES731"/>
    <mergeCell ref="DO730:DS730"/>
    <mergeCell ref="EO733:ES733"/>
    <mergeCell ref="DU735:DY735"/>
    <mergeCell ref="DE736:DI736"/>
    <mergeCell ref="CZ736:DD736"/>
    <mergeCell ref="DJ733:DN733"/>
    <mergeCell ref="CU732:CY732"/>
    <mergeCell ref="CU733:CY733"/>
    <mergeCell ref="CU734:CY734"/>
    <mergeCell ref="CZ734:DD734"/>
    <mergeCell ref="DX676:EB676"/>
    <mergeCell ref="EC676:EG676"/>
    <mergeCell ref="DX654:EB654"/>
    <mergeCell ref="EC654:EG654"/>
    <mergeCell ref="DX656:EB656"/>
    <mergeCell ref="DO726:DS726"/>
    <mergeCell ref="CG726:CH726"/>
    <mergeCell ref="DZ726:ED726"/>
    <mergeCell ref="EE726:EI726"/>
    <mergeCell ref="Z676:AK676"/>
    <mergeCell ref="AO641:AS641"/>
    <mergeCell ref="EC678:EG678"/>
    <mergeCell ref="EH678:EL678"/>
    <mergeCell ref="AI679:AK679"/>
    <mergeCell ref="Z684:AK684"/>
    <mergeCell ref="DJ726:DN726"/>
    <mergeCell ref="AA680:AK680"/>
    <mergeCell ref="Z653:AK653"/>
    <mergeCell ref="EH660:EL660"/>
    <mergeCell ref="Z687:AE687"/>
    <mergeCell ref="Z678:AK678"/>
    <mergeCell ref="EC649:EG649"/>
    <mergeCell ref="EC651:EG651"/>
    <mergeCell ref="EC650:EG650"/>
    <mergeCell ref="Z663:AE663"/>
    <mergeCell ref="AG673:AH673"/>
    <mergeCell ref="Z685:AK685"/>
    <mergeCell ref="DX671:EB671"/>
    <mergeCell ref="CI725:CJ725"/>
    <mergeCell ref="AO649:AS649"/>
    <mergeCell ref="Z659:AK659"/>
    <mergeCell ref="AK646:AN646"/>
    <mergeCell ref="CI734:CJ734"/>
    <mergeCell ref="CG734:CH734"/>
    <mergeCell ref="CM735:CN735"/>
    <mergeCell ref="CK734:CL734"/>
    <mergeCell ref="Z692:AK692"/>
    <mergeCell ref="AK728:AO728"/>
    <mergeCell ref="W708:AK708"/>
    <mergeCell ref="Z691:AK691"/>
    <mergeCell ref="CG727:CH727"/>
    <mergeCell ref="CI729:CJ729"/>
    <mergeCell ref="CK731:CL731"/>
    <mergeCell ref="CK729:CL729"/>
    <mergeCell ref="CM726:CN726"/>
    <mergeCell ref="DJ731:DN731"/>
    <mergeCell ref="DJ732:DN732"/>
    <mergeCell ref="DE728:DI728"/>
    <mergeCell ref="DE732:DI732"/>
    <mergeCell ref="T729:W729"/>
    <mergeCell ref="AE703:AI703"/>
    <mergeCell ref="CZ726:DD726"/>
    <mergeCell ref="AC729:AG729"/>
    <mergeCell ref="AH728:AJ728"/>
    <mergeCell ref="AH729:AJ729"/>
    <mergeCell ref="AK722:AO725"/>
    <mergeCell ref="AK727:AO727"/>
    <mergeCell ref="CM725:CN725"/>
    <mergeCell ref="CM727:CN727"/>
    <mergeCell ref="CM729:CN729"/>
    <mergeCell ref="W711:AK711"/>
    <mergeCell ref="CP732:CT732"/>
    <mergeCell ref="CP735:CT735"/>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97:AE597"/>
    <mergeCell ref="G593:R593"/>
    <mergeCell ref="AG583:AH583"/>
    <mergeCell ref="H598:R598"/>
    <mergeCell ref="Z652:AK652"/>
    <mergeCell ref="AO644:AS644"/>
    <mergeCell ref="N607:O607"/>
    <mergeCell ref="AA598:AK598"/>
    <mergeCell ref="AI597:AK597"/>
    <mergeCell ref="Z604:AK604"/>
    <mergeCell ref="H606:R606"/>
    <mergeCell ref="Z617:AK617"/>
    <mergeCell ref="N615:O615"/>
    <mergeCell ref="T641:V641"/>
    <mergeCell ref="G675:R675"/>
    <mergeCell ref="Q646:S646"/>
    <mergeCell ref="Z640:AB640"/>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Z594:AK594"/>
    <mergeCell ref="P605:R605"/>
    <mergeCell ref="G610:R610"/>
    <mergeCell ref="P613:R613"/>
    <mergeCell ref="Z611:AK611"/>
    <mergeCell ref="AG599:AH599"/>
    <mergeCell ref="AF644:AJ644"/>
    <mergeCell ref="AF645:AJ645"/>
    <mergeCell ref="AC644:AE644"/>
    <mergeCell ref="Z655:AE655"/>
    <mergeCell ref="AC728:AG728"/>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G617:R617"/>
    <mergeCell ref="Z613:AE613"/>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Q570:S570"/>
    <mergeCell ref="G576:R576"/>
    <mergeCell ref="T571:V571"/>
    <mergeCell ref="Z572:AD572"/>
    <mergeCell ref="Z573:AD573"/>
    <mergeCell ref="Z580:AE580"/>
    <mergeCell ref="A552:AT553"/>
    <mergeCell ref="A488:AT489"/>
    <mergeCell ref="D453:AF453"/>
    <mergeCell ref="R420:S420"/>
    <mergeCell ref="AC521:AF521"/>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P663:R663"/>
    <mergeCell ref="W641:Y641"/>
    <mergeCell ref="Z638:AB638"/>
    <mergeCell ref="T638:V638"/>
    <mergeCell ref="T639:V639"/>
    <mergeCell ref="AC636:AE636"/>
    <mergeCell ref="C637:L637"/>
    <mergeCell ref="M636:P636"/>
    <mergeCell ref="N657:O657"/>
    <mergeCell ref="AI663:AK663"/>
    <mergeCell ref="M638:P638"/>
    <mergeCell ref="M639:P639"/>
    <mergeCell ref="AC640:AE640"/>
    <mergeCell ref="W637:Y637"/>
    <mergeCell ref="CP733:CT733"/>
    <mergeCell ref="CZ735:DD735"/>
    <mergeCell ref="CP728:CT728"/>
    <mergeCell ref="CI728:CJ728"/>
    <mergeCell ref="CU728:CY728"/>
    <mergeCell ref="CU731:CY731"/>
    <mergeCell ref="CM730:CN730"/>
    <mergeCell ref="CM737:CN737"/>
    <mergeCell ref="CM731:CN731"/>
    <mergeCell ref="CM733:CN733"/>
    <mergeCell ref="CK738:CL738"/>
    <mergeCell ref="CP739:CT739"/>
    <mergeCell ref="CI737:CJ737"/>
    <mergeCell ref="CP737:CT737"/>
    <mergeCell ref="CZ731:DD731"/>
    <mergeCell ref="CU729:CY729"/>
    <mergeCell ref="CG730:CH730"/>
    <mergeCell ref="CG733:CH733"/>
    <mergeCell ref="CU738:CY738"/>
    <mergeCell ref="CK736:CL736"/>
    <mergeCell ref="CZ737:DD737"/>
    <mergeCell ref="CZ739:DD739"/>
    <mergeCell ref="CG732:CH732"/>
    <mergeCell ref="CG738:CH738"/>
    <mergeCell ref="CG736:CH736"/>
    <mergeCell ref="CP729:CT729"/>
    <mergeCell ref="CM734:CN734"/>
    <mergeCell ref="CM738:CN738"/>
    <mergeCell ref="CI738:CJ738"/>
    <mergeCell ref="CG737:CH737"/>
    <mergeCell ref="CG731:CH731"/>
    <mergeCell ref="CG728:CH728"/>
    <mergeCell ref="CP747:CT747"/>
    <mergeCell ref="CM746:CN746"/>
    <mergeCell ref="CU730:CY730"/>
    <mergeCell ref="CZ730:DD730"/>
    <mergeCell ref="CZ732:DD732"/>
    <mergeCell ref="CZ733:DD733"/>
    <mergeCell ref="CP736:CT736"/>
    <mergeCell ref="AK737:AO737"/>
    <mergeCell ref="AH741:AJ741"/>
    <mergeCell ref="AH737:AJ737"/>
    <mergeCell ref="CM743:CN743"/>
    <mergeCell ref="CI740:CJ740"/>
    <mergeCell ref="AK735:AO735"/>
    <mergeCell ref="N665:O665"/>
    <mergeCell ref="Z668:AK668"/>
    <mergeCell ref="G671:L671"/>
    <mergeCell ref="T740:W740"/>
    <mergeCell ref="T739:W739"/>
    <mergeCell ref="AH727:AJ727"/>
    <mergeCell ref="CK733:CL733"/>
    <mergeCell ref="CG741:CH741"/>
    <mergeCell ref="CI742:CJ742"/>
    <mergeCell ref="CI727:CJ727"/>
    <mergeCell ref="CM747:CN747"/>
    <mergeCell ref="CI745:CJ745"/>
    <mergeCell ref="G687:L687"/>
    <mergeCell ref="X736:AB736"/>
    <mergeCell ref="O727:S727"/>
    <mergeCell ref="K732:N732"/>
    <mergeCell ref="G670:R670"/>
    <mergeCell ref="AG689:AH689"/>
    <mergeCell ref="AI695:AK695"/>
    <mergeCell ref="AC753:AG753"/>
    <mergeCell ref="J713:O713"/>
    <mergeCell ref="G684:R684"/>
    <mergeCell ref="O730:S730"/>
    <mergeCell ref="CM728:CN728"/>
    <mergeCell ref="P695:R695"/>
    <mergeCell ref="R713:T713"/>
    <mergeCell ref="O739:S739"/>
    <mergeCell ref="T726:W726"/>
    <mergeCell ref="CG745:CH745"/>
    <mergeCell ref="T730:W730"/>
    <mergeCell ref="O729:S729"/>
    <mergeCell ref="M884:V884"/>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5:N735"/>
    <mergeCell ref="AC748:AG748"/>
    <mergeCell ref="T722:W725"/>
    <mergeCell ref="T734:W734"/>
    <mergeCell ref="K733:N733"/>
    <mergeCell ref="X728:AB728"/>
    <mergeCell ref="O735:S735"/>
    <mergeCell ref="AH732:AJ732"/>
    <mergeCell ref="O734:S734"/>
    <mergeCell ref="O736:S736"/>
    <mergeCell ref="Q833:T833"/>
    <mergeCell ref="W879:AC879"/>
    <mergeCell ref="T752:W752"/>
    <mergeCell ref="Z817:AE817"/>
    <mergeCell ref="J857:V857"/>
    <mergeCell ref="AC902:AH902"/>
    <mergeCell ref="W857:AC857"/>
    <mergeCell ref="J798:N798"/>
    <mergeCell ref="G727:J727"/>
    <mergeCell ref="AC735:AG735"/>
    <mergeCell ref="X732:AB732"/>
    <mergeCell ref="O737:S737"/>
    <mergeCell ref="AC749:AG749"/>
    <mergeCell ref="AC745:AG745"/>
    <mergeCell ref="J777:N780"/>
    <mergeCell ref="AG831:AJ832"/>
    <mergeCell ref="AC805:AG805"/>
    <mergeCell ref="AC795:AG795"/>
    <mergeCell ref="AC761:AG761"/>
    <mergeCell ref="O761:S761"/>
    <mergeCell ref="AC750:AG750"/>
    <mergeCell ref="AC751:AG751"/>
    <mergeCell ref="AC752:AG752"/>
    <mergeCell ref="Q836:T836"/>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AH748:AJ748"/>
    <mergeCell ref="O726:S726"/>
    <mergeCell ref="O722:S725"/>
    <mergeCell ref="W853:AC853"/>
    <mergeCell ref="M854:V854"/>
    <mergeCell ref="W877:AC877"/>
    <mergeCell ref="W881:AC881"/>
    <mergeCell ref="Q839:T839"/>
    <mergeCell ref="K737:N737"/>
    <mergeCell ref="N697:O697"/>
    <mergeCell ref="AA696:AK696"/>
    <mergeCell ref="AE710:AF710"/>
    <mergeCell ref="C901:AB901"/>
    <mergeCell ref="T736:W736"/>
    <mergeCell ref="BD919:BE919"/>
    <mergeCell ref="U949:Z949"/>
    <mergeCell ref="AA947:AF947"/>
    <mergeCell ref="U932:Z932"/>
    <mergeCell ref="B741:F741"/>
    <mergeCell ref="M887:V887"/>
    <mergeCell ref="B762:AH763"/>
    <mergeCell ref="X782:AB782"/>
    <mergeCell ref="T781:W781"/>
    <mergeCell ref="J781:N781"/>
    <mergeCell ref="O781:S781"/>
    <mergeCell ref="J784:N784"/>
    <mergeCell ref="U831:X832"/>
    <mergeCell ref="Q831:T832"/>
    <mergeCell ref="F946:T946"/>
    <mergeCell ref="U946:Z946"/>
    <mergeCell ref="AA946:AF946"/>
    <mergeCell ref="E894:AB894"/>
    <mergeCell ref="O800:S800"/>
    <mergeCell ref="J799:N799"/>
    <mergeCell ref="X800:AB800"/>
    <mergeCell ref="U836:X836"/>
    <mergeCell ref="AG836:AJ836"/>
    <mergeCell ref="Z815:AE815"/>
    <mergeCell ref="AC797:AG797"/>
    <mergeCell ref="AC798:AG798"/>
    <mergeCell ref="Z826:AE826"/>
    <mergeCell ref="T803:W803"/>
    <mergeCell ref="O801:S801"/>
    <mergeCell ref="C837:H837"/>
    <mergeCell ref="U837:X837"/>
    <mergeCell ref="X760:AB760"/>
    <mergeCell ref="W855:AC855"/>
    <mergeCell ref="AZ859:BA859"/>
    <mergeCell ref="AC899:AH899"/>
    <mergeCell ref="W887:AC887"/>
    <mergeCell ref="U940:Z940"/>
    <mergeCell ref="F924:T924"/>
    <mergeCell ref="AA935:AF935"/>
    <mergeCell ref="U936:Z936"/>
    <mergeCell ref="AA936:AF936"/>
    <mergeCell ref="W885:AC885"/>
    <mergeCell ref="M869:V869"/>
    <mergeCell ref="AA937:AF937"/>
    <mergeCell ref="AA945:AF945"/>
    <mergeCell ref="BD911:BE911"/>
    <mergeCell ref="BD909:BE909"/>
    <mergeCell ref="BD908:BE908"/>
    <mergeCell ref="BD910:BE910"/>
    <mergeCell ref="AA940:AF940"/>
    <mergeCell ref="AC895:AH895"/>
    <mergeCell ref="W865:AC865"/>
    <mergeCell ref="M883:V883"/>
    <mergeCell ref="W859:AC859"/>
    <mergeCell ref="W863:AC863"/>
    <mergeCell ref="W860:AC860"/>
    <mergeCell ref="W862:AC862"/>
    <mergeCell ref="W883:AC883"/>
    <mergeCell ref="W884:AC884"/>
    <mergeCell ref="T866:V866"/>
    <mergeCell ref="T868:V868"/>
    <mergeCell ref="BD913:BE913"/>
    <mergeCell ref="BD915:BF915"/>
    <mergeCell ref="BD914:BF914"/>
    <mergeCell ref="AC834:AF834"/>
    <mergeCell ref="AC835:AF835"/>
    <mergeCell ref="B742:F742"/>
    <mergeCell ref="X797:AB797"/>
    <mergeCell ref="B736:F736"/>
    <mergeCell ref="K745:N745"/>
    <mergeCell ref="C834:H834"/>
    <mergeCell ref="K760:N760"/>
    <mergeCell ref="O805:S805"/>
    <mergeCell ref="T799:W799"/>
    <mergeCell ref="T795:W795"/>
    <mergeCell ref="T796:W796"/>
    <mergeCell ref="T797:W797"/>
    <mergeCell ref="X783:AB783"/>
    <mergeCell ref="X784:AB784"/>
    <mergeCell ref="Q835:T835"/>
    <mergeCell ref="BD912:BE912"/>
    <mergeCell ref="AC898:AH898"/>
    <mergeCell ref="AC903:AH903"/>
    <mergeCell ref="Z908:AE908"/>
    <mergeCell ref="AC897:AH897"/>
    <mergeCell ref="W854:AC854"/>
    <mergeCell ref="M838:P838"/>
    <mergeCell ref="C840:L840"/>
    <mergeCell ref="Y839:AB839"/>
    <mergeCell ref="C845:AJ845"/>
    <mergeCell ref="W876:AC876"/>
    <mergeCell ref="W870:AC870"/>
    <mergeCell ref="W880:AC880"/>
    <mergeCell ref="Q838:T838"/>
    <mergeCell ref="AG839:AJ839"/>
    <mergeCell ref="W850:AC850"/>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C836:H836"/>
    <mergeCell ref="O803:S803"/>
    <mergeCell ref="AC799:AG799"/>
    <mergeCell ref="J802:N802"/>
    <mergeCell ref="J797:N797"/>
    <mergeCell ref="X803:AB803"/>
    <mergeCell ref="C833:H833"/>
    <mergeCell ref="G735:J735"/>
    <mergeCell ref="G760:J760"/>
    <mergeCell ref="G613:L613"/>
    <mergeCell ref="H614:R614"/>
    <mergeCell ref="G618:R618"/>
    <mergeCell ref="B726:F726"/>
    <mergeCell ref="G728:J728"/>
    <mergeCell ref="B729:F729"/>
    <mergeCell ref="B761:F761"/>
    <mergeCell ref="O760:S760"/>
    <mergeCell ref="AH734:AJ734"/>
    <mergeCell ref="G621:L621"/>
    <mergeCell ref="AA614:AK614"/>
    <mergeCell ref="X802:AB802"/>
    <mergeCell ref="G669:R669"/>
    <mergeCell ref="B728:F728"/>
    <mergeCell ref="B730:F730"/>
    <mergeCell ref="AG681:AH681"/>
    <mergeCell ref="B733:F733"/>
    <mergeCell ref="B732:F732"/>
    <mergeCell ref="X726:AB726"/>
    <mergeCell ref="B735:F735"/>
    <mergeCell ref="H688:R688"/>
    <mergeCell ref="B731:F731"/>
    <mergeCell ref="AF638:AJ638"/>
    <mergeCell ref="O782:S782"/>
    <mergeCell ref="O802:S802"/>
    <mergeCell ref="X777:AB780"/>
    <mergeCell ref="T777:W780"/>
    <mergeCell ref="AC801:AG801"/>
    <mergeCell ref="M643:P643"/>
    <mergeCell ref="Z660:AK660"/>
    <mergeCell ref="G729:J729"/>
    <mergeCell ref="AC754:AG754"/>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G730:J730"/>
    <mergeCell ref="O738:S738"/>
    <mergeCell ref="G694:R694"/>
    <mergeCell ref="C643:L643"/>
    <mergeCell ref="G722:J725"/>
    <mergeCell ref="G676:R676"/>
    <mergeCell ref="G695:L695"/>
    <mergeCell ref="K734:N734"/>
    <mergeCell ref="G685:R685"/>
    <mergeCell ref="Z686:AK686"/>
    <mergeCell ref="G683:R683"/>
    <mergeCell ref="N681:O681"/>
    <mergeCell ref="G679:L679"/>
    <mergeCell ref="G677:R677"/>
    <mergeCell ref="AK729:AO729"/>
    <mergeCell ref="B737:F737"/>
    <mergeCell ref="G731:J731"/>
    <mergeCell ref="O733:S733"/>
    <mergeCell ref="AH753:AJ753"/>
    <mergeCell ref="AH754:AJ754"/>
    <mergeCell ref="AH755:AJ755"/>
    <mergeCell ref="AH756:AJ756"/>
    <mergeCell ref="T728:W728"/>
    <mergeCell ref="K722:N725"/>
    <mergeCell ref="G732:J732"/>
    <mergeCell ref="T737:W737"/>
    <mergeCell ref="AC796:AG796"/>
    <mergeCell ref="Z578:AK578"/>
    <mergeCell ref="T573:V573"/>
    <mergeCell ref="C568:L568"/>
    <mergeCell ref="Z568:AD568"/>
    <mergeCell ref="AI571:AL571"/>
    <mergeCell ref="Z571:AD571"/>
    <mergeCell ref="T568:V56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Z589:AE589"/>
    <mergeCell ref="C570:L570"/>
    <mergeCell ref="N689:O689"/>
    <mergeCell ref="X727:AB727"/>
    <mergeCell ref="G693:R693"/>
    <mergeCell ref="C567:L567"/>
    <mergeCell ref="B559:L561"/>
    <mergeCell ref="AG458:AJ458"/>
    <mergeCell ref="Z563:AD563"/>
    <mergeCell ref="O543:AA543"/>
    <mergeCell ref="Q566:S566"/>
    <mergeCell ref="Q567:S567"/>
    <mergeCell ref="Z570:AD570"/>
    <mergeCell ref="AH520:AK520"/>
    <mergeCell ref="M565:P565"/>
    <mergeCell ref="AH528:AK528"/>
    <mergeCell ref="AC545:AF545"/>
    <mergeCell ref="O534:AA534"/>
    <mergeCell ref="AC537:AF537"/>
    <mergeCell ref="AH538:AK538"/>
    <mergeCell ref="Z564:AD564"/>
    <mergeCell ref="AH540:AK540"/>
    <mergeCell ref="AC530:AF530"/>
    <mergeCell ref="AC532:AF532"/>
    <mergeCell ref="AH514:AK514"/>
    <mergeCell ref="M562:P562"/>
    <mergeCell ref="AC536:AF536"/>
    <mergeCell ref="AH531:AK531"/>
    <mergeCell ref="AE562:AH562"/>
    <mergeCell ref="AH532:AK532"/>
    <mergeCell ref="AH533:AK533"/>
    <mergeCell ref="AH524:AK524"/>
    <mergeCell ref="AC533:AF533"/>
    <mergeCell ref="AH534:AK534"/>
    <mergeCell ref="AC541:AF541"/>
    <mergeCell ref="AE565:AH565"/>
    <mergeCell ref="AE570:AH570"/>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AG400:AJ400"/>
    <mergeCell ref="K413:AJ413"/>
    <mergeCell ref="AC395:AJ395"/>
    <mergeCell ref="K412:AJ412"/>
    <mergeCell ref="P355:AE355"/>
    <mergeCell ref="W477:Y477"/>
    <mergeCell ref="Q500:AK500"/>
    <mergeCell ref="AF427:AH427"/>
    <mergeCell ref="AI398:AJ398"/>
    <mergeCell ref="P356:Z356"/>
    <mergeCell ref="J395:U395"/>
    <mergeCell ref="T407:AJ407"/>
    <mergeCell ref="AG449:AJ449"/>
    <mergeCell ref="S410:U410"/>
    <mergeCell ref="AC396:AJ396"/>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AA318:AK318"/>
    <mergeCell ref="AA316:AF316"/>
    <mergeCell ref="AA314:AK314"/>
    <mergeCell ref="AA326:AK326"/>
    <mergeCell ref="AA341:AF341"/>
    <mergeCell ref="AA337:AK337"/>
    <mergeCell ref="AA336:AK336"/>
    <mergeCell ref="H341:M341"/>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AF252:AK252"/>
    <mergeCell ref="M243:T243"/>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U245:W245"/>
    <mergeCell ref="T189:AE189"/>
    <mergeCell ref="W243:X24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E429:AJ429"/>
    <mergeCell ref="D446:AF446"/>
    <mergeCell ref="D451:AF451"/>
    <mergeCell ref="AF439:AG439"/>
    <mergeCell ref="AG446:AJ446"/>
    <mergeCell ref="I430:K430"/>
    <mergeCell ref="Q398:U398"/>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AC527:AF527"/>
    <mergeCell ref="AC531:AF531"/>
    <mergeCell ref="AH537:AK537"/>
    <mergeCell ref="AH542:AK542"/>
    <mergeCell ref="AH547:AK547"/>
    <mergeCell ref="AH549:AK549"/>
    <mergeCell ref="AC543:AF543"/>
    <mergeCell ref="D473:V473"/>
    <mergeCell ref="AC517:AF517"/>
    <mergeCell ref="AG452:AJ452"/>
    <mergeCell ref="AG453:AJ453"/>
    <mergeCell ref="AC549:AF549"/>
    <mergeCell ref="D449:AF449"/>
    <mergeCell ref="W565:Y565"/>
    <mergeCell ref="AC534:AF534"/>
    <mergeCell ref="AE411:AJ411"/>
    <mergeCell ref="D455:AF455"/>
    <mergeCell ref="AG410:AJ410"/>
    <mergeCell ref="C562:L562"/>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566:L566"/>
    <mergeCell ref="Q563:S563"/>
    <mergeCell ref="Q559:S561"/>
    <mergeCell ref="M563:P563"/>
    <mergeCell ref="C563:L563"/>
    <mergeCell ref="W570:Y570"/>
    <mergeCell ref="CK727:CL727"/>
    <mergeCell ref="AK750:AO750"/>
    <mergeCell ref="CP753:CT753"/>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Z636:AB636"/>
    <mergeCell ref="AM568:AS568"/>
    <mergeCell ref="AI568:AL568"/>
    <mergeCell ref="AE563:AH563"/>
    <mergeCell ref="AI562:AL562"/>
    <mergeCell ref="AI566:AL566"/>
    <mergeCell ref="T559:V561"/>
    <mergeCell ref="Z565:AD565"/>
    <mergeCell ref="Z567:AD567"/>
    <mergeCell ref="T784:W784"/>
    <mergeCell ref="T782:W782"/>
    <mergeCell ref="AK643:AN643"/>
    <mergeCell ref="T570:V570"/>
    <mergeCell ref="T562:V562"/>
    <mergeCell ref="T564:V564"/>
    <mergeCell ref="W559:Y561"/>
    <mergeCell ref="AC804:AG80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AH511:AK511"/>
    <mergeCell ref="AC508:AF508"/>
    <mergeCell ref="AC548:AF548"/>
    <mergeCell ref="AC516:AF516"/>
    <mergeCell ref="AH545:AK545"/>
    <mergeCell ref="AC542:AF542"/>
    <mergeCell ref="AH550:AK550"/>
    <mergeCell ref="AH515:AK515"/>
    <mergeCell ref="AG459:AJ459"/>
    <mergeCell ref="D475:V475"/>
    <mergeCell ref="C635:L635"/>
    <mergeCell ref="P589:R589"/>
    <mergeCell ref="N599:O599"/>
    <mergeCell ref="Q568:S568"/>
    <mergeCell ref="Q573:S573"/>
    <mergeCell ref="Q569:S569"/>
    <mergeCell ref="T567:V567"/>
    <mergeCell ref="G597:L597"/>
    <mergeCell ref="AI563:AL563"/>
    <mergeCell ref="T566:V566"/>
    <mergeCell ref="AI564:AL564"/>
    <mergeCell ref="T565:V565"/>
    <mergeCell ref="W564:Y564"/>
    <mergeCell ref="Q564:S564"/>
    <mergeCell ref="O540:AA540"/>
    <mergeCell ref="AH513:AK513"/>
    <mergeCell ref="AC529:AF529"/>
    <mergeCell ref="AH535:AK535"/>
    <mergeCell ref="AC525:AF525"/>
    <mergeCell ref="AC512:AF512"/>
    <mergeCell ref="N591:O591"/>
    <mergeCell ref="Q565:S565"/>
    <mergeCell ref="C564:L564"/>
    <mergeCell ref="M564:P564"/>
    <mergeCell ref="AG450:AJ450"/>
    <mergeCell ref="AC546:AF546"/>
    <mergeCell ref="Z562:AD562"/>
    <mergeCell ref="AH539:AK539"/>
    <mergeCell ref="AH548:AK548"/>
    <mergeCell ref="AC523:AF523"/>
    <mergeCell ref="D456:AF456"/>
    <mergeCell ref="W474:Y474"/>
    <mergeCell ref="X750:AB750"/>
    <mergeCell ref="AH750:AJ750"/>
    <mergeCell ref="AK747:AO74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DJ750:DN750"/>
    <mergeCell ref="DJ749:DN749"/>
    <mergeCell ref="CI747:CJ747"/>
    <mergeCell ref="Z577:AK577"/>
    <mergeCell ref="AH523:AK523"/>
    <mergeCell ref="AK642:AN642"/>
    <mergeCell ref="AH516:AK516"/>
    <mergeCell ref="AM565:AS565"/>
    <mergeCell ref="W638:Y638"/>
    <mergeCell ref="G580:L580"/>
    <mergeCell ref="CM750:CN750"/>
    <mergeCell ref="Z667:AK667"/>
    <mergeCell ref="AH747:AJ747"/>
    <mergeCell ref="B738:F738"/>
    <mergeCell ref="G691:R691"/>
    <mergeCell ref="DO757:DS757"/>
    <mergeCell ref="CZ756:DD756"/>
    <mergeCell ref="DE756:DI756"/>
    <mergeCell ref="DJ756:DN756"/>
    <mergeCell ref="DO756:DS756"/>
    <mergeCell ref="CU755:CY755"/>
    <mergeCell ref="CZ755:DD755"/>
    <mergeCell ref="DE755:DI755"/>
    <mergeCell ref="EM671:EQ671"/>
    <mergeCell ref="DE725:DI725"/>
    <mergeCell ref="CU727:CY727"/>
    <mergeCell ref="EC667:EG667"/>
    <mergeCell ref="CP742:CT742"/>
    <mergeCell ref="DO755:DS755"/>
    <mergeCell ref="DU753:DY753"/>
    <mergeCell ref="DZ753:ED753"/>
    <mergeCell ref="CU748:CY748"/>
    <mergeCell ref="EJ753:EN753"/>
    <mergeCell ref="CZ751:DD751"/>
    <mergeCell ref="DE751:DI751"/>
    <mergeCell ref="DJ755:DN755"/>
    <mergeCell ref="CG753:CH753"/>
    <mergeCell ref="CI753:CJ753"/>
    <mergeCell ref="CU751:CY751"/>
    <mergeCell ref="ER671:EV671"/>
    <mergeCell ref="EW671:FA671"/>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26:EX726"/>
    <mergeCell ref="ET752:EX752"/>
    <mergeCell ref="FY750:GC750"/>
    <mergeCell ref="EZ751:FD751"/>
    <mergeCell ref="DU749:DY749"/>
    <mergeCell ref="DZ749:ED749"/>
    <mergeCell ref="EZ749:FD749"/>
    <mergeCell ref="FE749:FI749"/>
    <mergeCell ref="FJ749:FN749"/>
    <mergeCell ref="FO749:FS749"/>
    <mergeCell ref="FY749:GC749"/>
    <mergeCell ref="EZ750:FD750"/>
    <mergeCell ref="FE751:FI751"/>
    <mergeCell ref="ET733:EX733"/>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EM667:EQ667"/>
    <mergeCell ref="ER667:EV667"/>
    <mergeCell ref="EW667:FA667"/>
    <mergeCell ref="DX668:EB668"/>
    <mergeCell ref="EC668:EG668"/>
    <mergeCell ref="EZ756:FD756"/>
    <mergeCell ref="EW670:FA670"/>
    <mergeCell ref="FY757:GC757"/>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R666:EV666"/>
    <mergeCell ref="EW666:FA666"/>
    <mergeCell ref="EC673:EG673"/>
    <mergeCell ref="EH673:EL673"/>
    <mergeCell ref="EM673:EQ673"/>
    <mergeCell ref="ER673:EV673"/>
    <mergeCell ref="EW644:FA64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DE749:DI749"/>
    <mergeCell ref="FO758:FS758"/>
    <mergeCell ref="DJ752:DN752"/>
    <mergeCell ref="FE761:FI761"/>
    <mergeCell ref="CU757:CY757"/>
    <mergeCell ref="CZ757:DD757"/>
    <mergeCell ref="DE757:DI757"/>
    <mergeCell ref="FJ761:FN761"/>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P757:CT757"/>
    <mergeCell ref="CU752:CY752"/>
    <mergeCell ref="CI757:CJ757"/>
    <mergeCell ref="CK757:CL757"/>
    <mergeCell ref="CM757:CN757"/>
    <mergeCell ref="CK745:CL745"/>
    <mergeCell ref="CP752:CT752"/>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CZ805:DD805"/>
    <mergeCell ref="CK741:CL74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DO797:DS797"/>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DU802:DY802"/>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EO801:ES801"/>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EO802:ES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57" zoomScaleNormal="100" workbookViewId="0">
      <selection activeCell="E101" sqref="E10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5" t="s">
        <v>621</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374</v>
      </c>
      <c r="D2" s="138" t="s">
        <v>373</v>
      </c>
      <c r="E2" s="138" t="s">
        <v>24</v>
      </c>
      <c r="F2" s="139" t="str">
        <f>Application!B635&amp;Application!C635</f>
        <v>1)Citi - Perm Bond Proceeds</v>
      </c>
      <c r="G2" s="139" t="str">
        <f>Application!B636&amp;Application!C636</f>
        <v>2)Deferred Developer Fee</v>
      </c>
      <c r="H2" s="139" t="str">
        <f>Application!B637&amp;Application!C637</f>
        <v>3)</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902</v>
      </c>
      <c r="B13" s="146">
        <f>SUM(C13+D13)</f>
        <v>900000</v>
      </c>
      <c r="C13" s="147">
        <v>900000</v>
      </c>
      <c r="D13" s="147"/>
      <c r="E13" s="147">
        <f>C13-SUM(F13:Q13)</f>
        <v>900000</v>
      </c>
      <c r="F13" s="147"/>
      <c r="G13" s="147"/>
      <c r="H13" s="147"/>
      <c r="I13" s="147"/>
      <c r="J13" s="147"/>
      <c r="K13" s="147"/>
      <c r="L13" s="147"/>
      <c r="M13" s="147"/>
      <c r="N13" s="147"/>
      <c r="O13" s="147"/>
      <c r="P13" s="147"/>
      <c r="Q13" s="147"/>
      <c r="R13" s="516">
        <f>SUM(E13:Q13)</f>
        <v>900000</v>
      </c>
      <c r="S13" s="147">
        <v>0</v>
      </c>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13372</v>
      </c>
      <c r="C29" s="147">
        <v>13372</v>
      </c>
      <c r="D29" s="147"/>
      <c r="E29" s="147">
        <f t="shared" ref="E29:E33" si="7">C29-SUM(F29:Q29)</f>
        <v>13372</v>
      </c>
      <c r="F29" s="147"/>
      <c r="G29" s="147"/>
      <c r="H29" s="147"/>
      <c r="I29" s="147"/>
      <c r="J29" s="147"/>
      <c r="K29" s="147"/>
      <c r="L29" s="147"/>
      <c r="M29" s="147"/>
      <c r="N29" s="147"/>
      <c r="O29" s="147"/>
      <c r="P29" s="147"/>
      <c r="Q29" s="147"/>
      <c r="R29" s="516">
        <f t="shared" ref="R29:R37" si="8">SUM(E29:Q29)</f>
        <v>13372</v>
      </c>
      <c r="S29" s="147">
        <f>C29</f>
        <v>13372</v>
      </c>
      <c r="T29" s="147"/>
      <c r="U29" s="143"/>
    </row>
    <row r="30" spans="1:21" s="144" customFormat="1">
      <c r="A30" s="145" t="s">
        <v>599</v>
      </c>
      <c r="B30" s="146">
        <f t="shared" si="6"/>
        <v>30758000</v>
      </c>
      <c r="C30" s="147">
        <v>30758000</v>
      </c>
      <c r="D30" s="147"/>
      <c r="E30" s="147">
        <f t="shared" si="7"/>
        <v>3644653</v>
      </c>
      <c r="F30" s="147">
        <f>F108</f>
        <v>27113347</v>
      </c>
      <c r="G30" s="147"/>
      <c r="H30" s="147"/>
      <c r="I30" s="147"/>
      <c r="J30" s="147"/>
      <c r="K30" s="147"/>
      <c r="L30" s="147"/>
      <c r="M30" s="147"/>
      <c r="N30" s="147"/>
      <c r="O30" s="147"/>
      <c r="P30" s="147"/>
      <c r="Q30" s="147"/>
      <c r="R30" s="516">
        <f t="shared" si="8"/>
        <v>30758000</v>
      </c>
      <c r="S30" s="147">
        <v>29758000</v>
      </c>
      <c r="T30" s="147"/>
      <c r="U30" s="143"/>
    </row>
    <row r="31" spans="1:21" s="144" customFormat="1">
      <c r="A31" s="145" t="s">
        <v>600</v>
      </c>
      <c r="B31" s="146">
        <f t="shared" si="6"/>
        <v>1539069</v>
      </c>
      <c r="C31" s="147">
        <v>1539069</v>
      </c>
      <c r="D31" s="147"/>
      <c r="E31" s="147">
        <f t="shared" si="7"/>
        <v>1539069</v>
      </c>
      <c r="F31" s="147"/>
      <c r="G31" s="147"/>
      <c r="H31" s="147"/>
      <c r="I31" s="147"/>
      <c r="J31" s="147"/>
      <c r="K31" s="147"/>
      <c r="L31" s="147"/>
      <c r="M31" s="147"/>
      <c r="N31" s="147"/>
      <c r="O31" s="147"/>
      <c r="P31" s="147"/>
      <c r="Q31" s="147"/>
      <c r="R31" s="516">
        <f t="shared" si="8"/>
        <v>1539069</v>
      </c>
      <c r="S31" s="147">
        <f>C31</f>
        <v>1539069</v>
      </c>
      <c r="T31" s="147"/>
      <c r="U31" s="143"/>
    </row>
    <row r="32" spans="1:21" s="144" customFormat="1">
      <c r="A32" s="145" t="s">
        <v>137</v>
      </c>
      <c r="B32" s="146">
        <f t="shared" si="6"/>
        <v>646209</v>
      </c>
      <c r="C32" s="147">
        <v>646209</v>
      </c>
      <c r="D32" s="147"/>
      <c r="E32" s="147">
        <f t="shared" si="7"/>
        <v>646209</v>
      </c>
      <c r="F32" s="147"/>
      <c r="G32" s="147"/>
      <c r="H32" s="147"/>
      <c r="I32" s="147"/>
      <c r="J32" s="147"/>
      <c r="K32" s="147"/>
      <c r="L32" s="147"/>
      <c r="M32" s="147"/>
      <c r="N32" s="147"/>
      <c r="O32" s="147"/>
      <c r="P32" s="147"/>
      <c r="Q32" s="147"/>
      <c r="R32" s="516">
        <f t="shared" si="8"/>
        <v>646209</v>
      </c>
      <c r="S32" s="147">
        <f>C32</f>
        <v>646209</v>
      </c>
      <c r="T32" s="147"/>
      <c r="U32" s="143"/>
    </row>
    <row r="33" spans="1:21" s="144" customFormat="1">
      <c r="A33" s="145" t="s">
        <v>138</v>
      </c>
      <c r="B33" s="146">
        <f t="shared" si="6"/>
        <v>2261186</v>
      </c>
      <c r="C33" s="147">
        <v>2261186</v>
      </c>
      <c r="D33" s="147"/>
      <c r="E33" s="147">
        <f t="shared" si="7"/>
        <v>2261186</v>
      </c>
      <c r="F33" s="147"/>
      <c r="G33" s="147"/>
      <c r="H33" s="147"/>
      <c r="I33" s="147"/>
      <c r="J33" s="147"/>
      <c r="K33" s="147"/>
      <c r="L33" s="147"/>
      <c r="M33" s="147"/>
      <c r="N33" s="147"/>
      <c r="O33" s="147"/>
      <c r="P33" s="147"/>
      <c r="Q33" s="147"/>
      <c r="R33" s="516">
        <f t="shared" si="8"/>
        <v>2261186</v>
      </c>
      <c r="S33" s="147">
        <f>C33</f>
        <v>2261186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6"/>
        <v>918893</v>
      </c>
      <c r="C35" s="147">
        <v>918893</v>
      </c>
      <c r="D35" s="147"/>
      <c r="E35" s="147">
        <f>C35-SUM(F35:Q35)</f>
        <v>918893</v>
      </c>
      <c r="F35" s="147"/>
      <c r="G35" s="147"/>
      <c r="H35" s="147"/>
      <c r="I35" s="147"/>
      <c r="J35" s="147"/>
      <c r="K35" s="147"/>
      <c r="L35" s="147"/>
      <c r="M35" s="147"/>
      <c r="N35" s="147"/>
      <c r="O35" s="147"/>
      <c r="P35" s="147"/>
      <c r="Q35" s="147"/>
      <c r="R35" s="516">
        <f t="shared" si="8"/>
        <v>918893</v>
      </c>
      <c r="S35" s="147">
        <f>C35</f>
        <v>918893</v>
      </c>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8"/>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8"/>
        <v>0</v>
      </c>
      <c r="S37" s="147"/>
      <c r="T37" s="147"/>
      <c r="U37" s="143"/>
    </row>
    <row r="38" spans="1:21" s="144" customFormat="1">
      <c r="A38" s="149" t="s">
        <v>143</v>
      </c>
      <c r="B38" s="146">
        <f t="shared" si="6"/>
        <v>36136729</v>
      </c>
      <c r="C38" s="146">
        <f>SUM(C29:C37)</f>
        <v>36136729</v>
      </c>
      <c r="D38" s="146">
        <f t="shared" ref="D38:Q38" si="9">SUM(D29:D37)</f>
        <v>0</v>
      </c>
      <c r="E38" s="146">
        <f t="shared" si="9"/>
        <v>9023382</v>
      </c>
      <c r="F38" s="146">
        <f t="shared" si="9"/>
        <v>27113347</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36136729</v>
      </c>
      <c r="S38" s="150">
        <f>SUM(S29:S37)</f>
        <v>35136729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850049</v>
      </c>
      <c r="C40" s="147">
        <v>850049</v>
      </c>
      <c r="D40" s="147"/>
      <c r="E40" s="147">
        <f t="shared" ref="E40:E41" si="10">C40-SUM(F40:Q40)</f>
        <v>850049</v>
      </c>
      <c r="F40" s="147"/>
      <c r="G40" s="147"/>
      <c r="H40" s="147"/>
      <c r="I40" s="147"/>
      <c r="J40" s="147"/>
      <c r="K40" s="147"/>
      <c r="L40" s="147"/>
      <c r="M40" s="147"/>
      <c r="N40" s="147"/>
      <c r="O40" s="147"/>
      <c r="P40" s="147"/>
      <c r="Q40" s="147"/>
      <c r="R40" s="516">
        <f>SUM(E40:Q40)</f>
        <v>850049</v>
      </c>
      <c r="S40" s="147">
        <f>C40</f>
        <v>850049</v>
      </c>
      <c r="T40" s="147"/>
      <c r="U40" s="143"/>
    </row>
    <row r="41" spans="1:21" s="144" customFormat="1">
      <c r="A41" s="145" t="s">
        <v>146</v>
      </c>
      <c r="B41" s="146">
        <f>SUM(C41+D41)</f>
        <v>105000</v>
      </c>
      <c r="C41" s="147">
        <v>105000</v>
      </c>
      <c r="D41" s="147"/>
      <c r="E41" s="147">
        <f t="shared" si="10"/>
        <v>105000</v>
      </c>
      <c r="F41" s="147"/>
      <c r="G41" s="147"/>
      <c r="H41" s="147"/>
      <c r="I41" s="147"/>
      <c r="J41" s="147"/>
      <c r="K41" s="147"/>
      <c r="L41" s="147"/>
      <c r="M41" s="147"/>
      <c r="N41" s="147"/>
      <c r="O41" s="147"/>
      <c r="P41" s="147"/>
      <c r="Q41" s="147"/>
      <c r="R41" s="516">
        <f>SUM(E41:Q41)</f>
        <v>105000</v>
      </c>
      <c r="S41" s="147">
        <f>C41</f>
        <v>105000</v>
      </c>
      <c r="T41" s="147"/>
      <c r="U41" s="143"/>
    </row>
    <row r="42" spans="1:21" s="144" customFormat="1">
      <c r="A42" s="149" t="s">
        <v>147</v>
      </c>
      <c r="B42" s="146">
        <f>SUM(C42:D42)</f>
        <v>955049</v>
      </c>
      <c r="C42" s="146">
        <f>SUM(C39:C41)</f>
        <v>955049</v>
      </c>
      <c r="D42" s="146">
        <f>SUM(D39:D41)</f>
        <v>0</v>
      </c>
      <c r="E42" s="146">
        <f t="shared" ref="E42:T42" si="11">SUM(E40:E41)</f>
        <v>955049</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955049</v>
      </c>
      <c r="S42" s="150">
        <f t="shared" si="11"/>
        <v>955049</v>
      </c>
      <c r="T42" s="150">
        <f t="shared" si="11"/>
        <v>0</v>
      </c>
      <c r="U42" s="143"/>
    </row>
    <row r="43" spans="1:21" s="144" customFormat="1">
      <c r="A43" s="149" t="s">
        <v>148</v>
      </c>
      <c r="B43" s="146">
        <f>SUM(C43:D43)</f>
        <v>983306</v>
      </c>
      <c r="C43" s="147">
        <v>983306</v>
      </c>
      <c r="D43" s="147"/>
      <c r="E43" s="147">
        <f>C43-SUM(F43:Q43)</f>
        <v>983306</v>
      </c>
      <c r="F43" s="147"/>
      <c r="G43" s="147"/>
      <c r="H43" s="147"/>
      <c r="I43" s="147"/>
      <c r="J43" s="147"/>
      <c r="K43" s="147"/>
      <c r="L43" s="147"/>
      <c r="M43" s="147"/>
      <c r="N43" s="147"/>
      <c r="O43" s="147"/>
      <c r="P43" s="147"/>
      <c r="Q43" s="147"/>
      <c r="R43" s="516">
        <f>SUM(E43:Q43)</f>
        <v>983306</v>
      </c>
      <c r="S43" s="147">
        <f>C43</f>
        <v>983306</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3095188</v>
      </c>
      <c r="C45" s="147">
        <f>3103623+1-8436</f>
        <v>3095188</v>
      </c>
      <c r="D45" s="147"/>
      <c r="E45" s="147">
        <f t="shared" ref="E45:E46" si="13">C45-SUM(F45:Q45)</f>
        <v>3095188</v>
      </c>
      <c r="F45" s="147"/>
      <c r="G45" s="147"/>
      <c r="H45" s="147"/>
      <c r="I45" s="147"/>
      <c r="J45" s="147"/>
      <c r="K45" s="147"/>
      <c r="L45" s="147"/>
      <c r="M45" s="147"/>
      <c r="N45" s="147"/>
      <c r="O45" s="147"/>
      <c r="P45" s="147"/>
      <c r="Q45" s="147"/>
      <c r="R45" s="516">
        <f t="shared" ref="R45:R53" si="14">SUM(E45:Q45)</f>
        <v>3095188</v>
      </c>
      <c r="S45" s="147">
        <v>2476158</v>
      </c>
      <c r="T45" s="147"/>
      <c r="U45" s="143"/>
    </row>
    <row r="46" spans="1:21" s="144" customFormat="1">
      <c r="A46" s="145" t="s">
        <v>151</v>
      </c>
      <c r="B46" s="146">
        <f t="shared" si="12"/>
        <v>425127</v>
      </c>
      <c r="C46" s="147">
        <v>425127</v>
      </c>
      <c r="D46" s="147"/>
      <c r="E46" s="147">
        <f t="shared" si="13"/>
        <v>425127</v>
      </c>
      <c r="F46" s="147"/>
      <c r="G46" s="147"/>
      <c r="H46" s="147"/>
      <c r="I46" s="147"/>
      <c r="J46" s="147"/>
      <c r="K46" s="147"/>
      <c r="L46" s="147"/>
      <c r="M46" s="147"/>
      <c r="N46" s="147"/>
      <c r="O46" s="147"/>
      <c r="P46" s="147"/>
      <c r="Q46" s="147"/>
      <c r="R46" s="516">
        <f t="shared" si="14"/>
        <v>425127</v>
      </c>
      <c r="S46" s="147">
        <v>339178</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6">
        <f t="shared" si="14"/>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4"/>
        <v>0</v>
      </c>
      <c r="S48" s="147"/>
      <c r="T48" s="147"/>
      <c r="U48" s="143"/>
    </row>
    <row r="49" spans="1:21" s="144" customFormat="1">
      <c r="A49" s="145" t="s">
        <v>57</v>
      </c>
      <c r="B49" s="146">
        <f t="shared" si="12"/>
        <v>840000</v>
      </c>
      <c r="C49" s="147">
        <f>450000+90000+300000</f>
        <v>840000</v>
      </c>
      <c r="D49" s="147"/>
      <c r="E49" s="147">
        <f t="shared" ref="E49:E50" si="15">C49-SUM(F49:Q49)</f>
        <v>840000</v>
      </c>
      <c r="F49" s="147"/>
      <c r="G49" s="147"/>
      <c r="H49" s="147"/>
      <c r="I49" s="147"/>
      <c r="J49" s="147"/>
      <c r="K49" s="147"/>
      <c r="L49" s="147"/>
      <c r="M49" s="147"/>
      <c r="N49" s="147"/>
      <c r="O49" s="147"/>
      <c r="P49" s="147"/>
      <c r="Q49" s="147"/>
      <c r="R49" s="516">
        <f t="shared" si="14"/>
        <v>840000</v>
      </c>
      <c r="S49" s="147"/>
      <c r="T49" s="147"/>
      <c r="U49" s="143"/>
    </row>
    <row r="50" spans="1:21" s="144" customFormat="1">
      <c r="A50" s="145" t="s">
        <v>156</v>
      </c>
      <c r="B50" s="146">
        <f t="shared" si="12"/>
        <v>75000</v>
      </c>
      <c r="C50" s="147">
        <v>75000</v>
      </c>
      <c r="D50" s="147"/>
      <c r="E50" s="147">
        <f t="shared" si="15"/>
        <v>75000</v>
      </c>
      <c r="F50" s="147"/>
      <c r="G50" s="147"/>
      <c r="H50" s="147"/>
      <c r="I50" s="147"/>
      <c r="J50" s="147"/>
      <c r="K50" s="147"/>
      <c r="L50" s="147"/>
      <c r="M50" s="147"/>
      <c r="N50" s="147"/>
      <c r="O50" s="147"/>
      <c r="P50" s="147"/>
      <c r="Q50" s="147"/>
      <c r="R50" s="516">
        <f t="shared" si="14"/>
        <v>75000</v>
      </c>
      <c r="S50" s="147">
        <f>C50</f>
        <v>75000</v>
      </c>
      <c r="T50" s="147"/>
      <c r="U50" s="143"/>
    </row>
    <row r="51" spans="1:21" s="144" customFormat="1">
      <c r="A51" s="283" t="s">
        <v>154</v>
      </c>
      <c r="B51" s="146">
        <f t="shared" si="12"/>
        <v>0</v>
      </c>
      <c r="C51" s="147"/>
      <c r="D51" s="147"/>
      <c r="E51" s="147"/>
      <c r="F51" s="147"/>
      <c r="G51" s="147"/>
      <c r="H51" s="147"/>
      <c r="I51" s="147"/>
      <c r="J51" s="147"/>
      <c r="K51" s="147"/>
      <c r="L51" s="147"/>
      <c r="M51" s="147"/>
      <c r="N51" s="147"/>
      <c r="O51" s="147"/>
      <c r="P51" s="147"/>
      <c r="Q51" s="147"/>
      <c r="R51" s="516">
        <f t="shared" si="14"/>
        <v>0</v>
      </c>
      <c r="S51" s="147"/>
      <c r="T51" s="147"/>
      <c r="U51" s="143"/>
    </row>
    <row r="52" spans="1:21" s="144" customFormat="1">
      <c r="A52" s="145" t="s">
        <v>155</v>
      </c>
      <c r="B52" s="146">
        <f t="shared" si="12"/>
        <v>0</v>
      </c>
      <c r="C52" s="147"/>
      <c r="D52" s="147"/>
      <c r="E52" s="147"/>
      <c r="F52" s="147"/>
      <c r="G52" s="147"/>
      <c r="H52" s="147"/>
      <c r="I52" s="147"/>
      <c r="J52" s="147"/>
      <c r="K52" s="147"/>
      <c r="L52" s="147"/>
      <c r="M52" s="147"/>
      <c r="N52" s="147"/>
      <c r="O52" s="147"/>
      <c r="P52" s="147"/>
      <c r="Q52" s="147"/>
      <c r="R52" s="516">
        <f t="shared" si="14"/>
        <v>0</v>
      </c>
      <c r="S52" s="147"/>
      <c r="T52" s="147"/>
      <c r="U52" s="143"/>
    </row>
    <row r="53" spans="1:21" s="144" customFormat="1">
      <c r="A53" s="1143" t="s">
        <v>34</v>
      </c>
      <c r="B53" s="146">
        <f t="shared" si="12"/>
        <v>0</v>
      </c>
      <c r="C53" s="147"/>
      <c r="D53" s="147"/>
      <c r="E53" s="147"/>
      <c r="F53" s="147"/>
      <c r="G53" s="147"/>
      <c r="H53" s="147"/>
      <c r="I53" s="147"/>
      <c r="J53" s="147"/>
      <c r="K53" s="147"/>
      <c r="L53" s="147"/>
      <c r="M53" s="147"/>
      <c r="N53" s="147"/>
      <c r="O53" s="147"/>
      <c r="P53" s="147"/>
      <c r="Q53" s="147"/>
      <c r="R53" s="516">
        <f t="shared" si="14"/>
        <v>0</v>
      </c>
      <c r="S53" s="147"/>
      <c r="T53" s="147"/>
      <c r="U53" s="143"/>
    </row>
    <row r="54" spans="1:21" s="153" customFormat="1">
      <c r="A54" s="149" t="s">
        <v>157</v>
      </c>
      <c r="B54" s="150">
        <f>SUM(C54:D54)</f>
        <v>4435315</v>
      </c>
      <c r="C54" s="150">
        <f t="shared" ref="C54:T54" si="16">SUM(C45:C53)</f>
        <v>4435315</v>
      </c>
      <c r="D54" s="150">
        <f t="shared" si="16"/>
        <v>0</v>
      </c>
      <c r="E54" s="150">
        <f t="shared" si="16"/>
        <v>4435315</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4435315</v>
      </c>
      <c r="S54" s="150">
        <f t="shared" si="16"/>
        <v>2890336</v>
      </c>
      <c r="T54" s="150">
        <f t="shared" si="16"/>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271133</v>
      </c>
      <c r="C56" s="147">
        <v>271133</v>
      </c>
      <c r="D56" s="147"/>
      <c r="E56" s="147">
        <f>C56-SUM(F56:Q56)</f>
        <v>271133</v>
      </c>
      <c r="F56" s="147"/>
      <c r="G56" s="147"/>
      <c r="H56" s="147"/>
      <c r="I56" s="147"/>
      <c r="J56" s="147"/>
      <c r="K56" s="147"/>
      <c r="L56" s="147"/>
      <c r="M56" s="147"/>
      <c r="N56" s="147"/>
      <c r="O56" s="147"/>
      <c r="P56" s="147"/>
      <c r="Q56" s="147"/>
      <c r="R56" s="516">
        <f t="shared" ref="R56:R61" si="18">SUM(E56:Q56)</f>
        <v>271133</v>
      </c>
      <c r="S56" s="148"/>
      <c r="T56" s="148"/>
      <c r="U56" s="143"/>
    </row>
    <row r="57" spans="1:21" s="192" customFormat="1">
      <c r="A57" s="186" t="s">
        <v>152</v>
      </c>
      <c r="B57" s="193">
        <f t="shared" si="17"/>
        <v>0</v>
      </c>
      <c r="C57" s="190"/>
      <c r="D57" s="190"/>
      <c r="E57" s="190"/>
      <c r="F57" s="190"/>
      <c r="G57" s="190"/>
      <c r="H57" s="190"/>
      <c r="I57" s="190"/>
      <c r="J57" s="190"/>
      <c r="K57" s="190"/>
      <c r="L57" s="190"/>
      <c r="M57" s="190"/>
      <c r="N57" s="190"/>
      <c r="O57" s="190"/>
      <c r="P57" s="190"/>
      <c r="Q57" s="190"/>
      <c r="R57" s="516">
        <f t="shared" si="18"/>
        <v>0</v>
      </c>
      <c r="S57" s="194"/>
      <c r="T57" s="194"/>
      <c r="U57" s="191"/>
    </row>
    <row r="58" spans="1:21" s="144" customFormat="1">
      <c r="A58" s="145" t="s">
        <v>156</v>
      </c>
      <c r="B58" s="146">
        <f t="shared" si="17"/>
        <v>75000</v>
      </c>
      <c r="C58" s="147">
        <v>75000</v>
      </c>
      <c r="D58" s="147"/>
      <c r="E58" s="147">
        <f t="shared" ref="E58:E59" si="19">C58-SUM(F58:Q58)</f>
        <v>75000</v>
      </c>
      <c r="F58" s="147"/>
      <c r="G58" s="147"/>
      <c r="H58" s="147"/>
      <c r="I58" s="147"/>
      <c r="J58" s="147"/>
      <c r="K58" s="147"/>
      <c r="L58" s="147"/>
      <c r="M58" s="147"/>
      <c r="N58" s="147"/>
      <c r="O58" s="147"/>
      <c r="P58" s="147"/>
      <c r="Q58" s="147"/>
      <c r="R58" s="516">
        <f t="shared" si="18"/>
        <v>75000</v>
      </c>
      <c r="S58" s="148"/>
      <c r="T58" s="148"/>
      <c r="U58" s="143"/>
    </row>
    <row r="59" spans="1:21" s="144" customFormat="1">
      <c r="A59" s="283" t="s">
        <v>154</v>
      </c>
      <c r="B59" s="146">
        <f t="shared" si="17"/>
        <v>437896</v>
      </c>
      <c r="C59" s="147">
        <v>437896</v>
      </c>
      <c r="D59" s="147"/>
      <c r="E59" s="147">
        <f t="shared" si="19"/>
        <v>437896</v>
      </c>
      <c r="F59" s="147"/>
      <c r="G59" s="147"/>
      <c r="H59" s="147"/>
      <c r="I59" s="147"/>
      <c r="J59" s="147"/>
      <c r="K59" s="147"/>
      <c r="L59" s="147"/>
      <c r="M59" s="147"/>
      <c r="N59" s="147"/>
      <c r="O59" s="147"/>
      <c r="P59" s="147"/>
      <c r="Q59" s="147"/>
      <c r="R59" s="516">
        <f t="shared" si="18"/>
        <v>437896</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6">
        <f t="shared" si="18"/>
        <v>0</v>
      </c>
      <c r="S60" s="148"/>
      <c r="T60" s="148"/>
      <c r="U60" s="143"/>
    </row>
    <row r="61" spans="1:21" s="144" customFormat="1">
      <c r="A61" s="1143" t="s">
        <v>34</v>
      </c>
      <c r="B61" s="146">
        <f t="shared" si="17"/>
        <v>0</v>
      </c>
      <c r="C61" s="147"/>
      <c r="D61" s="147"/>
      <c r="E61" s="147"/>
      <c r="F61" s="147"/>
      <c r="G61" s="147"/>
      <c r="H61" s="147"/>
      <c r="I61" s="147"/>
      <c r="J61" s="147"/>
      <c r="K61" s="147"/>
      <c r="L61" s="147"/>
      <c r="M61" s="147"/>
      <c r="N61" s="147"/>
      <c r="O61" s="147"/>
      <c r="P61" s="147"/>
      <c r="Q61" s="147"/>
      <c r="R61" s="516">
        <f t="shared" si="18"/>
        <v>0</v>
      </c>
      <c r="S61" s="148"/>
      <c r="T61" s="148"/>
      <c r="U61" s="143"/>
    </row>
    <row r="62" spans="1:21" s="144" customFormat="1" ht="13.7" customHeight="1">
      <c r="A62" s="149" t="s">
        <v>301</v>
      </c>
      <c r="B62" s="146">
        <f>SUM(C62:D62)</f>
        <v>784029</v>
      </c>
      <c r="C62" s="146">
        <f t="shared" ref="C62:R62" si="20">SUM(C56:C61)</f>
        <v>784029</v>
      </c>
      <c r="D62" s="146">
        <f t="shared" si="20"/>
        <v>0</v>
      </c>
      <c r="E62" s="146">
        <f t="shared" si="20"/>
        <v>784029</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784029</v>
      </c>
      <c r="S62" s="148"/>
      <c r="T62" s="148"/>
      <c r="U62" s="143"/>
    </row>
    <row r="63" spans="1:21" s="144" customFormat="1">
      <c r="A63" s="154" t="s">
        <v>302</v>
      </c>
      <c r="B63" s="146">
        <f t="shared" ref="B63:R63" si="21">SUM(B8+B11+B13+B14+B15+B26+B27+B38+B42+B43+B54+B62)</f>
        <v>44194428</v>
      </c>
      <c r="C63" s="146">
        <f t="shared" si="21"/>
        <v>44194428</v>
      </c>
      <c r="D63" s="146">
        <f t="shared" si="21"/>
        <v>0</v>
      </c>
      <c r="E63" s="146">
        <f t="shared" si="21"/>
        <v>17081081</v>
      </c>
      <c r="F63" s="146">
        <f t="shared" si="21"/>
        <v>27113347</v>
      </c>
      <c r="G63" s="146">
        <f t="shared" si="21"/>
        <v>0</v>
      </c>
      <c r="H63" s="146">
        <f t="shared" si="21"/>
        <v>0</v>
      </c>
      <c r="I63" s="146">
        <f t="shared" si="21"/>
        <v>0</v>
      </c>
      <c r="J63" s="146">
        <f t="shared" si="21"/>
        <v>0</v>
      </c>
      <c r="K63" s="146">
        <f t="shared" si="21"/>
        <v>0</v>
      </c>
      <c r="L63" s="146">
        <f t="shared" si="21"/>
        <v>0</v>
      </c>
      <c r="M63" s="146">
        <f t="shared" si="21"/>
        <v>0</v>
      </c>
      <c r="N63" s="146">
        <f t="shared" si="21"/>
        <v>0</v>
      </c>
      <c r="O63" s="146">
        <f t="shared" si="21"/>
        <v>0</v>
      </c>
      <c r="P63" s="146">
        <f t="shared" si="21"/>
        <v>0</v>
      </c>
      <c r="Q63" s="146">
        <f t="shared" si="21"/>
        <v>0</v>
      </c>
      <c r="R63" s="342">
        <f t="shared" si="21"/>
        <v>44194428</v>
      </c>
      <c r="S63" s="146">
        <f>SUM(S10+S13+S14+S15+S26+S27+S38+S42+S43+S54)</f>
        <v>39965420</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471431</v>
      </c>
      <c r="C65" s="147">
        <f>150000+321431</f>
        <v>471431</v>
      </c>
      <c r="D65" s="147"/>
      <c r="E65" s="147">
        <f t="shared" ref="E65:E67" si="22">C65-SUM(F65:Q65)</f>
        <v>471431</v>
      </c>
      <c r="F65" s="147"/>
      <c r="G65" s="147"/>
      <c r="H65" s="147"/>
      <c r="I65" s="147"/>
      <c r="J65" s="147"/>
      <c r="K65" s="147"/>
      <c r="L65" s="147"/>
      <c r="M65" s="147"/>
      <c r="N65" s="147"/>
      <c r="O65" s="147"/>
      <c r="P65" s="147"/>
      <c r="Q65" s="147"/>
      <c r="R65" s="516">
        <f>SUM(E65:Q65)</f>
        <v>471431</v>
      </c>
      <c r="S65" s="147">
        <v>150000</v>
      </c>
      <c r="T65" s="147"/>
      <c r="U65" s="143"/>
    </row>
    <row r="66" spans="1:21" s="144" customFormat="1" ht="24" customHeight="1">
      <c r="A66" s="283" t="s">
        <v>1629</v>
      </c>
      <c r="B66" s="146">
        <f>SUM(C66+D66)</f>
        <v>550000</v>
      </c>
      <c r="C66" s="147">
        <v>550000</v>
      </c>
      <c r="D66" s="147"/>
      <c r="E66" s="147">
        <f t="shared" si="22"/>
        <v>550000</v>
      </c>
      <c r="F66" s="147"/>
      <c r="G66" s="147"/>
      <c r="H66" s="147"/>
      <c r="I66" s="147"/>
      <c r="J66" s="147"/>
      <c r="K66" s="147"/>
      <c r="L66" s="147"/>
      <c r="M66" s="147"/>
      <c r="N66" s="147"/>
      <c r="O66" s="147"/>
      <c r="P66" s="147"/>
      <c r="Q66" s="147"/>
      <c r="R66" s="516">
        <f>SUM(E66:Q66)</f>
        <v>550000</v>
      </c>
      <c r="S66" s="147">
        <f>C66</f>
        <v>550000</v>
      </c>
      <c r="T66" s="147"/>
      <c r="U66" s="143"/>
    </row>
    <row r="67" spans="1:21" s="144" customFormat="1" ht="24" customHeight="1">
      <c r="A67" s="283" t="s">
        <v>1630</v>
      </c>
      <c r="B67" s="146">
        <f>SUM(C67+D67)</f>
        <v>67422</v>
      </c>
      <c r="C67" s="147">
        <v>67422</v>
      </c>
      <c r="D67" s="147"/>
      <c r="E67" s="147">
        <f t="shared" si="22"/>
        <v>67422</v>
      </c>
      <c r="F67" s="147"/>
      <c r="G67" s="147"/>
      <c r="H67" s="147"/>
      <c r="I67" s="147"/>
      <c r="J67" s="147"/>
      <c r="K67" s="147"/>
      <c r="L67" s="147"/>
      <c r="M67" s="147"/>
      <c r="N67" s="147"/>
      <c r="O67" s="147"/>
      <c r="P67" s="147"/>
      <c r="Q67" s="147"/>
      <c r="R67" s="516">
        <f>SUM(E67:Q67)</f>
        <v>67422</v>
      </c>
      <c r="S67" s="147">
        <f>C67</f>
        <v>67422</v>
      </c>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1633</v>
      </c>
      <c r="B70" s="146">
        <f>SUM(C70:D70)</f>
        <v>1088853</v>
      </c>
      <c r="C70" s="146">
        <f>SUM(C65:C69)</f>
        <v>1088853</v>
      </c>
      <c r="D70" s="146">
        <f>SUM(D65:D69)</f>
        <v>0</v>
      </c>
      <c r="E70" s="146">
        <f t="shared" ref="E70:T70" si="23">SUM(E65:E69)</f>
        <v>1088853</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1088853</v>
      </c>
      <c r="S70" s="150">
        <f t="shared" si="23"/>
        <v>767422</v>
      </c>
      <c r="T70" s="150">
        <f t="shared" si="23"/>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799247</v>
      </c>
      <c r="C75" s="147">
        <f>790811+8436</f>
        <v>799247</v>
      </c>
      <c r="D75" s="147"/>
      <c r="E75" s="147">
        <f>C75-SUM(F75:Q75)</f>
        <v>799247</v>
      </c>
      <c r="F75" s="147"/>
      <c r="G75" s="147"/>
      <c r="H75" s="147"/>
      <c r="I75" s="147"/>
      <c r="J75" s="147"/>
      <c r="K75" s="147"/>
      <c r="L75" s="147"/>
      <c r="M75" s="147"/>
      <c r="N75" s="147"/>
      <c r="O75" s="147"/>
      <c r="P75" s="147"/>
      <c r="Q75" s="147"/>
      <c r="R75" s="516">
        <f>SUM(E75:Q75)</f>
        <v>799247</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799247</v>
      </c>
      <c r="C77" s="146">
        <f>SUM(C72:C76)</f>
        <v>799247</v>
      </c>
      <c r="D77" s="146">
        <f>SUM(D72:D76)</f>
        <v>0</v>
      </c>
      <c r="E77" s="146">
        <f t="shared" ref="E77:Q77" si="24">SUM(E72:E76)</f>
        <v>799247</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799247</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1537900</v>
      </c>
      <c r="C79" s="147">
        <v>1537900</v>
      </c>
      <c r="D79" s="147"/>
      <c r="E79" s="147">
        <f t="shared" ref="E79:E80" si="25">C79-SUM(F79:Q79)</f>
        <v>1537900</v>
      </c>
      <c r="F79" s="147"/>
      <c r="G79" s="147"/>
      <c r="H79" s="147"/>
      <c r="I79" s="147"/>
      <c r="J79" s="147"/>
      <c r="K79" s="147"/>
      <c r="L79" s="147"/>
      <c r="M79" s="147"/>
      <c r="N79" s="147"/>
      <c r="O79" s="147"/>
      <c r="P79" s="147"/>
      <c r="Q79" s="147"/>
      <c r="R79" s="516">
        <f>SUM(E79:Q79)</f>
        <v>1537900</v>
      </c>
      <c r="S79" s="147">
        <f>C79</f>
        <v>1537900</v>
      </c>
      <c r="T79" s="147"/>
      <c r="U79" s="143"/>
    </row>
    <row r="80" spans="1:21" s="144" customFormat="1">
      <c r="A80" s="283" t="s">
        <v>58</v>
      </c>
      <c r="B80" s="146">
        <f>SUM(C80:D80)</f>
        <v>475000</v>
      </c>
      <c r="C80" s="147">
        <v>475000</v>
      </c>
      <c r="D80" s="147"/>
      <c r="E80" s="147">
        <f t="shared" si="25"/>
        <v>475000</v>
      </c>
      <c r="F80" s="147"/>
      <c r="G80" s="147"/>
      <c r="H80" s="147"/>
      <c r="I80" s="147"/>
      <c r="J80" s="147"/>
      <c r="K80" s="147"/>
      <c r="L80" s="147"/>
      <c r="M80" s="147"/>
      <c r="N80" s="147"/>
      <c r="O80" s="147"/>
      <c r="P80" s="147"/>
      <c r="Q80" s="147"/>
      <c r="R80" s="516">
        <f>SUM(E80:Q80)</f>
        <v>475000</v>
      </c>
      <c r="S80" s="147">
        <f>C80</f>
        <v>475000</v>
      </c>
      <c r="T80" s="147"/>
      <c r="U80" s="143"/>
    </row>
    <row r="81" spans="1:21" s="144" customFormat="1">
      <c r="A81" s="149" t="s">
        <v>1208</v>
      </c>
      <c r="B81" s="146">
        <f>SUM(C81:D81)</f>
        <v>2012900</v>
      </c>
      <c r="C81" s="509">
        <f>SUM(C79:C80)</f>
        <v>2012900</v>
      </c>
      <c r="D81" s="509">
        <f t="shared" ref="D81:T81" si="26">SUM(D79:D80)</f>
        <v>0</v>
      </c>
      <c r="E81" s="509">
        <f t="shared" si="26"/>
        <v>2012900</v>
      </c>
      <c r="F81" s="509">
        <f t="shared" si="26"/>
        <v>0</v>
      </c>
      <c r="G81" s="509">
        <f t="shared" si="26"/>
        <v>0</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2012900</v>
      </c>
      <c r="S81" s="509">
        <f t="shared" si="26"/>
        <v>2012900</v>
      </c>
      <c r="T81" s="509">
        <f t="shared" si="26"/>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2050</v>
      </c>
      <c r="B83" s="146">
        <f t="shared" ref="B83:B95" si="27">SUM(C83+D83)</f>
        <v>206534</v>
      </c>
      <c r="C83" s="147">
        <f>26862+102200+72404+1500+3568</f>
        <v>206534</v>
      </c>
      <c r="D83" s="147"/>
      <c r="E83" s="147">
        <f t="shared" ref="E83:E84" si="28">C83-SUM(F83:Q83)</f>
        <v>206534</v>
      </c>
      <c r="F83" s="147"/>
      <c r="G83" s="147"/>
      <c r="H83" s="147"/>
      <c r="I83" s="147"/>
      <c r="J83" s="147"/>
      <c r="K83" s="147"/>
      <c r="L83" s="147"/>
      <c r="M83" s="147"/>
      <c r="N83" s="147"/>
      <c r="O83" s="147"/>
      <c r="P83" s="147"/>
      <c r="Q83" s="147"/>
      <c r="R83" s="516">
        <f t="shared" ref="R83:R95" si="29">SUM(E83:Q83)</f>
        <v>206534</v>
      </c>
      <c r="S83" s="148"/>
      <c r="T83" s="148"/>
      <c r="U83" s="143"/>
    </row>
    <row r="84" spans="1:21" s="144" customFormat="1">
      <c r="A84" s="145" t="s">
        <v>767</v>
      </c>
      <c r="B84" s="146">
        <f t="shared" si="27"/>
        <v>47428</v>
      </c>
      <c r="C84" s="147">
        <v>47428</v>
      </c>
      <c r="D84" s="147"/>
      <c r="E84" s="147">
        <f t="shared" si="28"/>
        <v>47428</v>
      </c>
      <c r="F84" s="147"/>
      <c r="G84" s="147"/>
      <c r="H84" s="147"/>
      <c r="I84" s="147"/>
      <c r="J84" s="147"/>
      <c r="K84" s="147"/>
      <c r="L84" s="147"/>
      <c r="M84" s="147"/>
      <c r="N84" s="147"/>
      <c r="O84" s="147"/>
      <c r="P84" s="147"/>
      <c r="Q84" s="147"/>
      <c r="R84" s="516">
        <f t="shared" si="29"/>
        <v>47428</v>
      </c>
      <c r="S84" s="147">
        <f>C84</f>
        <v>47428</v>
      </c>
      <c r="T84" s="147"/>
      <c r="U84" s="143"/>
    </row>
    <row r="85" spans="1:21" s="144" customFormat="1">
      <c r="A85" s="145" t="s">
        <v>768</v>
      </c>
      <c r="B85" s="146">
        <f t="shared" si="27"/>
        <v>0</v>
      </c>
      <c r="C85" s="147"/>
      <c r="D85" s="147"/>
      <c r="E85" s="147"/>
      <c r="F85" s="147"/>
      <c r="G85" s="147"/>
      <c r="H85" s="147"/>
      <c r="I85" s="147"/>
      <c r="J85" s="147"/>
      <c r="K85" s="147"/>
      <c r="L85" s="147"/>
      <c r="M85" s="147"/>
      <c r="N85" s="147"/>
      <c r="O85" s="147"/>
      <c r="P85" s="147"/>
      <c r="Q85" s="147"/>
      <c r="R85" s="516">
        <f t="shared" si="29"/>
        <v>0</v>
      </c>
      <c r="S85" s="147"/>
      <c r="T85" s="147"/>
      <c r="U85" s="143"/>
    </row>
    <row r="86" spans="1:21" s="144" customFormat="1">
      <c r="A86" s="145" t="s">
        <v>769</v>
      </c>
      <c r="B86" s="146">
        <f t="shared" si="27"/>
        <v>1700566</v>
      </c>
      <c r="C86" s="147">
        <f>1484941+215625</f>
        <v>1700566</v>
      </c>
      <c r="D86" s="147"/>
      <c r="E86" s="147">
        <f>C86-SUM(F86:Q86)</f>
        <v>1700566</v>
      </c>
      <c r="F86" s="147"/>
      <c r="G86" s="147"/>
      <c r="H86" s="147"/>
      <c r="I86" s="147"/>
      <c r="J86" s="147"/>
      <c r="K86" s="147"/>
      <c r="L86" s="147"/>
      <c r="M86" s="147"/>
      <c r="N86" s="147"/>
      <c r="O86" s="147"/>
      <c r="P86" s="147"/>
      <c r="Q86" s="147"/>
      <c r="R86" s="516">
        <f t="shared" si="29"/>
        <v>1700566</v>
      </c>
      <c r="S86" s="147">
        <f>C86</f>
        <v>1700566</v>
      </c>
      <c r="T86" s="147"/>
      <c r="U86" s="143"/>
    </row>
    <row r="87" spans="1:21" s="144" customFormat="1">
      <c r="A87" s="145" t="s">
        <v>770</v>
      </c>
      <c r="B87" s="146">
        <f t="shared" si="27"/>
        <v>0</v>
      </c>
      <c r="C87" s="147"/>
      <c r="D87" s="147"/>
      <c r="E87" s="147"/>
      <c r="F87" s="147"/>
      <c r="G87" s="147"/>
      <c r="H87" s="147"/>
      <c r="I87" s="147"/>
      <c r="J87" s="147"/>
      <c r="K87" s="147"/>
      <c r="L87" s="147"/>
      <c r="M87" s="147"/>
      <c r="N87" s="147"/>
      <c r="O87" s="147"/>
      <c r="P87" s="147"/>
      <c r="Q87" s="147"/>
      <c r="R87" s="516">
        <f t="shared" si="29"/>
        <v>0</v>
      </c>
      <c r="S87" s="147"/>
      <c r="T87" s="147"/>
      <c r="U87" s="143"/>
    </row>
    <row r="88" spans="1:21" s="144" customFormat="1">
      <c r="A88" s="145" t="s">
        <v>771</v>
      </c>
      <c r="B88" s="146">
        <f t="shared" si="27"/>
        <v>50000</v>
      </c>
      <c r="C88" s="147">
        <v>50000</v>
      </c>
      <c r="D88" s="147"/>
      <c r="E88" s="147">
        <f t="shared" ref="E88:E92" si="30">C88-SUM(F88:Q88)</f>
        <v>50000</v>
      </c>
      <c r="F88" s="147"/>
      <c r="G88" s="147"/>
      <c r="H88" s="147"/>
      <c r="I88" s="147"/>
      <c r="J88" s="147"/>
      <c r="K88" s="147"/>
      <c r="L88" s="147"/>
      <c r="M88" s="147"/>
      <c r="N88" s="147"/>
      <c r="O88" s="147"/>
      <c r="P88" s="147"/>
      <c r="Q88" s="147"/>
      <c r="R88" s="516">
        <f t="shared" si="29"/>
        <v>50000</v>
      </c>
      <c r="S88" s="148"/>
      <c r="T88" s="148"/>
      <c r="U88" s="143"/>
    </row>
    <row r="89" spans="1:21" s="144" customFormat="1">
      <c r="A89" s="145" t="s">
        <v>772</v>
      </c>
      <c r="B89" s="146">
        <f t="shared" si="27"/>
        <v>250000</v>
      </c>
      <c r="C89" s="147">
        <v>250000</v>
      </c>
      <c r="D89" s="147"/>
      <c r="E89" s="147">
        <f t="shared" si="30"/>
        <v>250000</v>
      </c>
      <c r="F89" s="147"/>
      <c r="G89" s="147"/>
      <c r="H89" s="147"/>
      <c r="I89" s="147"/>
      <c r="J89" s="147"/>
      <c r="K89" s="147"/>
      <c r="L89" s="147"/>
      <c r="M89" s="147"/>
      <c r="N89" s="147"/>
      <c r="O89" s="147"/>
      <c r="P89" s="147"/>
      <c r="Q89" s="147"/>
      <c r="R89" s="516">
        <f t="shared" si="29"/>
        <v>250000</v>
      </c>
      <c r="S89" s="147">
        <f t="shared" ref="S89:S92" si="31">C89</f>
        <v>250000</v>
      </c>
      <c r="T89" s="147"/>
      <c r="U89" s="143"/>
    </row>
    <row r="90" spans="1:21" s="144" customFormat="1">
      <c r="A90" s="145" t="s">
        <v>773</v>
      </c>
      <c r="B90" s="146">
        <f t="shared" si="27"/>
        <v>10000</v>
      </c>
      <c r="C90" s="147">
        <v>10000</v>
      </c>
      <c r="D90" s="147"/>
      <c r="E90" s="147">
        <f t="shared" si="30"/>
        <v>10000</v>
      </c>
      <c r="F90" s="147"/>
      <c r="G90" s="147"/>
      <c r="H90" s="147"/>
      <c r="I90" s="147"/>
      <c r="J90" s="147"/>
      <c r="K90" s="147"/>
      <c r="L90" s="147"/>
      <c r="M90" s="147"/>
      <c r="N90" s="147"/>
      <c r="O90" s="147"/>
      <c r="P90" s="147"/>
      <c r="Q90" s="147"/>
      <c r="R90" s="516">
        <f t="shared" si="29"/>
        <v>10000</v>
      </c>
      <c r="S90" s="147">
        <f t="shared" si="31"/>
        <v>10000</v>
      </c>
      <c r="T90" s="147"/>
      <c r="U90" s="143"/>
    </row>
    <row r="91" spans="1:21" s="144" customFormat="1">
      <c r="A91" s="145" t="s">
        <v>372</v>
      </c>
      <c r="B91" s="146">
        <f t="shared" si="27"/>
        <v>155853</v>
      </c>
      <c r="C91" s="147">
        <f>5000+150853</f>
        <v>155853</v>
      </c>
      <c r="D91" s="147"/>
      <c r="E91" s="147">
        <f t="shared" si="30"/>
        <v>155853</v>
      </c>
      <c r="F91" s="147"/>
      <c r="G91" s="147"/>
      <c r="H91" s="147"/>
      <c r="I91" s="147"/>
      <c r="J91" s="147"/>
      <c r="K91" s="147"/>
      <c r="L91" s="147"/>
      <c r="M91" s="147"/>
      <c r="N91" s="147"/>
      <c r="O91" s="147"/>
      <c r="P91" s="147"/>
      <c r="Q91" s="147"/>
      <c r="R91" s="516">
        <f t="shared" si="29"/>
        <v>155853</v>
      </c>
      <c r="S91" s="147">
        <f t="shared" si="31"/>
        <v>155853</v>
      </c>
      <c r="T91" s="147"/>
      <c r="U91" s="143"/>
    </row>
    <row r="92" spans="1:21" s="144" customFormat="1">
      <c r="A92" s="283" t="s">
        <v>1210</v>
      </c>
      <c r="B92" s="146">
        <f t="shared" si="27"/>
        <v>10000</v>
      </c>
      <c r="C92" s="147">
        <v>10000</v>
      </c>
      <c r="D92" s="147"/>
      <c r="E92" s="147">
        <f t="shared" si="30"/>
        <v>10000</v>
      </c>
      <c r="F92" s="147"/>
      <c r="G92" s="147"/>
      <c r="H92" s="147"/>
      <c r="I92" s="147"/>
      <c r="J92" s="147"/>
      <c r="K92" s="147"/>
      <c r="L92" s="147"/>
      <c r="M92" s="147"/>
      <c r="N92" s="147"/>
      <c r="O92" s="147"/>
      <c r="P92" s="147"/>
      <c r="Q92" s="147"/>
      <c r="R92" s="516">
        <f t="shared" si="29"/>
        <v>10000</v>
      </c>
      <c r="S92" s="147">
        <f t="shared" si="31"/>
        <v>10000</v>
      </c>
      <c r="T92" s="147"/>
      <c r="U92" s="143"/>
    </row>
    <row r="93" spans="1:21" s="144" customFormat="1">
      <c r="A93" s="1143" t="s">
        <v>34</v>
      </c>
      <c r="B93" s="146">
        <f t="shared" si="27"/>
        <v>0</v>
      </c>
      <c r="C93" s="147"/>
      <c r="D93" s="147"/>
      <c r="E93" s="147"/>
      <c r="F93" s="147"/>
      <c r="G93" s="147"/>
      <c r="H93" s="147"/>
      <c r="I93" s="147"/>
      <c r="J93" s="147"/>
      <c r="K93" s="147"/>
      <c r="L93" s="147"/>
      <c r="M93" s="147"/>
      <c r="N93" s="147"/>
      <c r="O93" s="147"/>
      <c r="P93" s="147"/>
      <c r="Q93" s="147"/>
      <c r="R93" s="516">
        <f t="shared" si="29"/>
        <v>0</v>
      </c>
      <c r="S93" s="147"/>
      <c r="T93" s="147"/>
      <c r="U93" s="143"/>
    </row>
    <row r="94" spans="1:21" s="144" customFormat="1">
      <c r="A94" s="1143" t="s">
        <v>34</v>
      </c>
      <c r="B94" s="146">
        <f t="shared" si="27"/>
        <v>0</v>
      </c>
      <c r="C94" s="147"/>
      <c r="D94" s="147"/>
      <c r="E94" s="147"/>
      <c r="F94" s="147"/>
      <c r="G94" s="147"/>
      <c r="H94" s="147"/>
      <c r="I94" s="147"/>
      <c r="J94" s="147"/>
      <c r="K94" s="147"/>
      <c r="L94" s="147"/>
      <c r="M94" s="147"/>
      <c r="N94" s="147"/>
      <c r="O94" s="147"/>
      <c r="P94" s="147"/>
      <c r="Q94" s="147"/>
      <c r="R94" s="516">
        <f t="shared" si="29"/>
        <v>0</v>
      </c>
      <c r="S94" s="147"/>
      <c r="T94" s="147"/>
      <c r="U94" s="143"/>
    </row>
    <row r="95" spans="1:21" s="144" customFormat="1">
      <c r="A95" s="1143" t="s">
        <v>34</v>
      </c>
      <c r="B95" s="146">
        <f t="shared" si="27"/>
        <v>0</v>
      </c>
      <c r="C95" s="147"/>
      <c r="D95" s="147"/>
      <c r="E95" s="147"/>
      <c r="F95" s="147"/>
      <c r="G95" s="147"/>
      <c r="H95" s="147"/>
      <c r="I95" s="147"/>
      <c r="J95" s="147"/>
      <c r="K95" s="147"/>
      <c r="L95" s="147"/>
      <c r="M95" s="147"/>
      <c r="N95" s="147"/>
      <c r="O95" s="147"/>
      <c r="P95" s="147"/>
      <c r="Q95" s="147"/>
      <c r="R95" s="516">
        <f t="shared" si="29"/>
        <v>0</v>
      </c>
      <c r="S95" s="147"/>
      <c r="T95" s="147"/>
      <c r="U95" s="143"/>
    </row>
    <row r="96" spans="1:21" s="144" customFormat="1">
      <c r="A96" s="149" t="s">
        <v>774</v>
      </c>
      <c r="B96" s="146">
        <f>SUM(C96:D96)</f>
        <v>2430381</v>
      </c>
      <c r="C96" s="146">
        <f t="shared" ref="C96:R96" si="32">SUM(C83:C95)</f>
        <v>2430381</v>
      </c>
      <c r="D96" s="146">
        <f t="shared" si="32"/>
        <v>0</v>
      </c>
      <c r="E96" s="146">
        <f t="shared" si="32"/>
        <v>2430381</v>
      </c>
      <c r="F96" s="146">
        <f t="shared" si="32"/>
        <v>0</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42">
        <f t="shared" si="32"/>
        <v>2430381</v>
      </c>
      <c r="S96" s="150">
        <f>SUM(S84:S87,S89:S95)</f>
        <v>2173847</v>
      </c>
      <c r="T96" s="146">
        <f>SUM(T84:T87,T89:T95)</f>
        <v>0</v>
      </c>
      <c r="U96" s="143"/>
    </row>
    <row r="97" spans="1:21" s="144" customFormat="1">
      <c r="A97" s="149" t="s">
        <v>775</v>
      </c>
      <c r="B97" s="146">
        <f>SUM(C97:D97)</f>
        <v>50525809</v>
      </c>
      <c r="C97" s="146">
        <f t="shared" ref="C97:R97" si="33">SUM(C63+C70+C77+C81+C96)</f>
        <v>50525809</v>
      </c>
      <c r="D97" s="146">
        <f t="shared" si="33"/>
        <v>0</v>
      </c>
      <c r="E97" s="146">
        <f t="shared" si="33"/>
        <v>23412462</v>
      </c>
      <c r="F97" s="146">
        <f t="shared" si="33"/>
        <v>27113347</v>
      </c>
      <c r="G97" s="146">
        <f t="shared" si="33"/>
        <v>0</v>
      </c>
      <c r="H97" s="146">
        <f t="shared" si="33"/>
        <v>0</v>
      </c>
      <c r="I97" s="146">
        <f t="shared" si="33"/>
        <v>0</v>
      </c>
      <c r="J97" s="146">
        <f t="shared" si="33"/>
        <v>0</v>
      </c>
      <c r="K97" s="146">
        <f t="shared" si="33"/>
        <v>0</v>
      </c>
      <c r="L97" s="146">
        <f t="shared" si="33"/>
        <v>0</v>
      </c>
      <c r="M97" s="146">
        <f t="shared" si="33"/>
        <v>0</v>
      </c>
      <c r="N97" s="146">
        <f t="shared" si="33"/>
        <v>0</v>
      </c>
      <c r="O97" s="146">
        <f t="shared" si="33"/>
        <v>0</v>
      </c>
      <c r="P97" s="146">
        <f t="shared" si="33"/>
        <v>0</v>
      </c>
      <c r="Q97" s="146">
        <f t="shared" si="33"/>
        <v>0</v>
      </c>
      <c r="R97" s="146">
        <f t="shared" si="33"/>
        <v>50525809</v>
      </c>
      <c r="S97" s="146">
        <f>SUM(S63+S70+S81+S96)</f>
        <v>44919589</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6737938</v>
      </c>
      <c r="C99" s="974">
        <v>6737938</v>
      </c>
      <c r="D99" s="974"/>
      <c r="E99" s="974">
        <f>C99-SUM(F99:Q99)</f>
        <v>357951</v>
      </c>
      <c r="F99" s="147"/>
      <c r="G99" s="147">
        <f>G108</f>
        <v>6379987</v>
      </c>
      <c r="H99" s="147"/>
      <c r="I99" s="147"/>
      <c r="J99" s="147"/>
      <c r="K99" s="147"/>
      <c r="L99" s="147"/>
      <c r="M99" s="147"/>
      <c r="N99" s="147"/>
      <c r="O99" s="147"/>
      <c r="P99" s="147"/>
      <c r="Q99" s="147"/>
      <c r="R99" s="516">
        <f>SUM(E99:Q99)</f>
        <v>6737938</v>
      </c>
      <c r="S99" s="147">
        <f>C99</f>
        <v>6737938</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6737938</v>
      </c>
      <c r="C104" s="146">
        <f>SUM(C99:C103)</f>
        <v>6737938</v>
      </c>
      <c r="D104" s="146">
        <f t="shared" ref="D104:T104" si="34">SUM(D99:D103)</f>
        <v>0</v>
      </c>
      <c r="E104" s="146">
        <f t="shared" si="34"/>
        <v>357951</v>
      </c>
      <c r="F104" s="146">
        <f t="shared" si="34"/>
        <v>0</v>
      </c>
      <c r="G104" s="146">
        <f t="shared" si="34"/>
        <v>6379987</v>
      </c>
      <c r="H104" s="146">
        <f t="shared" si="34"/>
        <v>0</v>
      </c>
      <c r="I104" s="146">
        <f t="shared" si="34"/>
        <v>0</v>
      </c>
      <c r="J104" s="146">
        <f t="shared" si="34"/>
        <v>0</v>
      </c>
      <c r="K104" s="146">
        <f t="shared" si="34"/>
        <v>0</v>
      </c>
      <c r="L104" s="146">
        <f t="shared" si="34"/>
        <v>0</v>
      </c>
      <c r="M104" s="146">
        <f t="shared" si="34"/>
        <v>0</v>
      </c>
      <c r="N104" s="146">
        <f t="shared" si="34"/>
        <v>0</v>
      </c>
      <c r="O104" s="146">
        <f t="shared" si="34"/>
        <v>0</v>
      </c>
      <c r="P104" s="146">
        <f t="shared" si="34"/>
        <v>0</v>
      </c>
      <c r="Q104" s="146">
        <f t="shared" si="34"/>
        <v>0</v>
      </c>
      <c r="R104" s="342">
        <f t="shared" si="34"/>
        <v>6737938</v>
      </c>
      <c r="S104" s="150">
        <f t="shared" si="34"/>
        <v>6737938</v>
      </c>
      <c r="T104" s="150">
        <f t="shared" si="34"/>
        <v>0</v>
      </c>
      <c r="U104" s="143"/>
    </row>
    <row r="105" spans="1:21" s="144" customFormat="1">
      <c r="A105" s="149" t="s">
        <v>780</v>
      </c>
      <c r="B105" s="150">
        <f>SUM(C105:D105)</f>
        <v>57263747</v>
      </c>
      <c r="C105" s="150">
        <f t="shared" ref="C105:R105" si="35">SUM(C97+C104)</f>
        <v>57263747</v>
      </c>
      <c r="D105" s="150">
        <f t="shared" si="35"/>
        <v>0</v>
      </c>
      <c r="E105" s="150">
        <f t="shared" si="35"/>
        <v>23770413</v>
      </c>
      <c r="F105" s="150">
        <f t="shared" si="35"/>
        <v>27113347</v>
      </c>
      <c r="G105" s="150">
        <f t="shared" si="35"/>
        <v>6379987</v>
      </c>
      <c r="H105" s="150">
        <f t="shared" si="35"/>
        <v>0</v>
      </c>
      <c r="I105" s="150">
        <f t="shared" si="35"/>
        <v>0</v>
      </c>
      <c r="J105" s="150">
        <f t="shared" si="35"/>
        <v>0</v>
      </c>
      <c r="K105" s="150">
        <f t="shared" si="35"/>
        <v>0</v>
      </c>
      <c r="L105" s="150">
        <f t="shared" si="35"/>
        <v>0</v>
      </c>
      <c r="M105" s="150">
        <f t="shared" si="35"/>
        <v>0</v>
      </c>
      <c r="N105" s="150">
        <f t="shared" si="35"/>
        <v>0</v>
      </c>
      <c r="O105" s="150">
        <f t="shared" si="35"/>
        <v>0</v>
      </c>
      <c r="P105" s="150">
        <f t="shared" si="35"/>
        <v>0</v>
      </c>
      <c r="Q105" s="150">
        <f t="shared" si="35"/>
        <v>0</v>
      </c>
      <c r="R105" s="342">
        <f t="shared" si="35"/>
        <v>57263747</v>
      </c>
      <c r="S105" s="150">
        <f>S97+S104</f>
        <v>51657527</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51657527</v>
      </c>
      <c r="T107" s="150">
        <f>T105+T106</f>
        <v>0</v>
      </c>
    </row>
    <row r="108" spans="1:21" s="189" customFormat="1">
      <c r="A108" s="162" t="s">
        <v>879</v>
      </c>
      <c r="B108" s="157"/>
      <c r="C108" s="157"/>
      <c r="D108" s="157"/>
      <c r="E108" s="301">
        <f>Application!AO648</f>
        <v>23770413</v>
      </c>
      <c r="F108" s="301">
        <f>Application!AO635</f>
        <v>27113347</v>
      </c>
      <c r="G108" s="301">
        <f>Application!AO636</f>
        <v>6379987</v>
      </c>
      <c r="H108" s="301">
        <f>Application!AO637</f>
        <v>0</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2051</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9" t="s">
        <v>989</v>
      </c>
      <c r="E122" s="1879"/>
      <c r="F122" s="1879"/>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1" t="s">
        <v>1223</v>
      </c>
      <c r="E123" s="1549"/>
      <c r="F123" s="1549"/>
      <c r="G123" s="1549"/>
      <c r="H123" s="1549"/>
      <c r="I123" s="1549"/>
      <c r="J123" s="1549"/>
      <c r="K123" s="1549"/>
      <c r="L123" s="1549"/>
      <c r="M123" s="1549"/>
      <c r="N123" s="1549"/>
      <c r="O123" s="1549"/>
      <c r="P123" s="1549"/>
      <c r="Q123" s="1549"/>
      <c r="R123" s="1549"/>
      <c r="S123" s="1549"/>
      <c r="T123" s="324"/>
      <c r="U123" s="326"/>
    </row>
    <row r="124" spans="1:21" ht="12.75">
      <c r="A124" s="117" t="s">
        <v>991</v>
      </c>
      <c r="B124" s="333"/>
      <c r="C124" s="117"/>
      <c r="D124" s="1549"/>
      <c r="E124" s="1549"/>
      <c r="F124" s="1549"/>
      <c r="G124" s="1549"/>
      <c r="H124" s="1549"/>
      <c r="I124" s="1549"/>
      <c r="J124" s="1549"/>
      <c r="K124" s="1549"/>
      <c r="L124" s="1549"/>
      <c r="M124" s="1549"/>
      <c r="N124" s="1549"/>
      <c r="O124" s="1549"/>
      <c r="P124" s="1549"/>
      <c r="Q124" s="1549"/>
      <c r="R124" s="1549"/>
      <c r="S124" s="1549"/>
      <c r="T124" s="324"/>
      <c r="U124" s="326"/>
    </row>
    <row r="125" spans="1:21" ht="12.75">
      <c r="A125" s="117" t="s">
        <v>992</v>
      </c>
      <c r="B125" s="333"/>
      <c r="C125" s="117"/>
      <c r="D125" s="1549"/>
      <c r="E125" s="1549"/>
      <c r="F125" s="1549"/>
      <c r="G125" s="1549"/>
      <c r="H125" s="1549"/>
      <c r="I125" s="1549"/>
      <c r="J125" s="1549"/>
      <c r="K125" s="1549"/>
      <c r="L125" s="1549"/>
      <c r="M125" s="1549"/>
      <c r="N125" s="1549"/>
      <c r="O125" s="1549"/>
      <c r="P125" s="1549"/>
      <c r="Q125" s="1549"/>
      <c r="R125" s="1549"/>
      <c r="S125" s="1549"/>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4"/>
      <c r="E128" s="1874"/>
      <c r="F128" s="1874"/>
      <c r="G128" s="1874"/>
      <c r="H128" s="1874"/>
      <c r="I128" s="117"/>
      <c r="J128" s="1870"/>
      <c r="K128" s="1870"/>
      <c r="L128" s="117"/>
      <c r="M128" s="117"/>
      <c r="N128" s="117"/>
      <c r="O128" s="117"/>
      <c r="P128" s="117"/>
      <c r="Q128" s="117"/>
      <c r="R128" s="117"/>
      <c r="S128" s="117"/>
      <c r="T128" s="324"/>
      <c r="U128" s="326"/>
    </row>
    <row r="129" spans="1:21" ht="12.75">
      <c r="A129" s="117" t="s">
        <v>300</v>
      </c>
      <c r="B129" s="333"/>
      <c r="C129" s="117"/>
      <c r="D129" s="1878" t="s">
        <v>996</v>
      </c>
      <c r="E129" s="1878"/>
      <c r="F129" s="1878"/>
      <c r="G129" s="1878"/>
      <c r="H129" s="1878"/>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519"/>
      <c r="E131" s="1519"/>
      <c r="F131" s="1519"/>
      <c r="G131" s="1519"/>
      <c r="H131" s="1519"/>
      <c r="I131" s="117"/>
      <c r="J131" s="1519"/>
      <c r="K131" s="1519"/>
      <c r="L131" s="1519"/>
      <c r="M131" s="1519"/>
      <c r="N131" s="117"/>
      <c r="O131" s="117"/>
      <c r="P131" s="117"/>
      <c r="Q131" s="117"/>
      <c r="R131" s="117"/>
      <c r="S131" s="117"/>
      <c r="T131" s="324"/>
      <c r="U131" s="326"/>
    </row>
    <row r="132" spans="1:21" ht="12" customHeight="1">
      <c r="A132" s="336"/>
      <c r="B132" s="117"/>
      <c r="C132" s="117"/>
      <c r="D132" s="1872" t="s">
        <v>999</v>
      </c>
      <c r="E132" s="1872"/>
      <c r="F132" s="1872"/>
      <c r="G132" s="1872"/>
      <c r="H132" s="1872"/>
      <c r="I132" s="117"/>
      <c r="J132" s="1872" t="s">
        <v>1000</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74"/>
      <c r="C138" s="1874"/>
      <c r="D138" s="328"/>
      <c r="E138" s="1870"/>
      <c r="F138" s="1870"/>
      <c r="G138" s="117"/>
      <c r="H138" s="117"/>
      <c r="I138" s="117"/>
      <c r="J138" s="117"/>
      <c r="K138" s="117"/>
      <c r="L138" s="117"/>
      <c r="M138" s="117"/>
      <c r="N138" s="117"/>
      <c r="O138" s="117"/>
      <c r="P138" s="117"/>
      <c r="Q138" s="117"/>
      <c r="R138" s="117"/>
      <c r="S138" s="117"/>
      <c r="T138" s="330"/>
      <c r="U138" s="331"/>
    </row>
    <row r="139" spans="1:21" ht="12.75">
      <c r="A139" s="1869" t="s">
        <v>1003</v>
      </c>
      <c r="B139" s="1869"/>
      <c r="C139" s="1869"/>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2" t="s">
        <v>1226</v>
      </c>
      <c r="B1" s="1883"/>
      <c r="C1" s="1883"/>
      <c r="D1" s="1883"/>
      <c r="E1" s="1883"/>
      <c r="F1" s="1883"/>
      <c r="G1" s="1883"/>
      <c r="H1" s="1883"/>
      <c r="I1" s="1883"/>
      <c r="J1" s="1884"/>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902</v>
      </c>
      <c r="B13" s="361">
        <f>'Sources and Uses Budget'!C13</f>
        <v>900000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13372</v>
      </c>
      <c r="C29" s="362"/>
      <c r="D29" s="362"/>
      <c r="E29" s="361">
        <f>'Sources and Uses Budget'!S29</f>
        <v>13372</v>
      </c>
      <c r="F29" s="362"/>
      <c r="G29" s="362"/>
      <c r="H29" s="361">
        <f>'Sources and Uses Budget'!T29</f>
        <v>0</v>
      </c>
      <c r="I29" s="362"/>
      <c r="J29" s="362"/>
      <c r="K29" s="359"/>
    </row>
    <row r="30" spans="1:11" s="360" customFormat="1">
      <c r="A30" s="145" t="s">
        <v>599</v>
      </c>
      <c r="B30" s="361">
        <f>'Sources and Uses Budget'!C30</f>
        <v>30758000</v>
      </c>
      <c r="C30" s="362"/>
      <c r="D30" s="362"/>
      <c r="E30" s="361">
        <f>'Sources and Uses Budget'!S30</f>
        <v>29758000</v>
      </c>
      <c r="F30" s="362"/>
      <c r="G30" s="362"/>
      <c r="H30" s="361">
        <f>'Sources and Uses Budget'!T30</f>
        <v>0</v>
      </c>
      <c r="I30" s="362"/>
      <c r="J30" s="362"/>
      <c r="K30" s="359"/>
    </row>
    <row r="31" spans="1:11" s="360" customFormat="1">
      <c r="A31" s="145" t="s">
        <v>600</v>
      </c>
      <c r="B31" s="361">
        <f>'Sources and Uses Budget'!C31</f>
        <v>1539069</v>
      </c>
      <c r="C31" s="362"/>
      <c r="D31" s="362"/>
      <c r="E31" s="361">
        <f>'Sources and Uses Budget'!S31</f>
        <v>1539069</v>
      </c>
      <c r="F31" s="362"/>
      <c r="G31" s="362"/>
      <c r="H31" s="361">
        <f>'Sources and Uses Budget'!T31</f>
        <v>0</v>
      </c>
      <c r="I31" s="362"/>
      <c r="J31" s="362"/>
      <c r="K31" s="359"/>
    </row>
    <row r="32" spans="1:11" s="360" customFormat="1">
      <c r="A32" s="145" t="s">
        <v>137</v>
      </c>
      <c r="B32" s="361">
        <f>'Sources and Uses Budget'!C32</f>
        <v>646209</v>
      </c>
      <c r="C32" s="362"/>
      <c r="D32" s="362"/>
      <c r="E32" s="361">
        <f>'Sources and Uses Budget'!S32</f>
        <v>646209</v>
      </c>
      <c r="F32" s="362"/>
      <c r="G32" s="362"/>
      <c r="H32" s="361">
        <f>'Sources and Uses Budget'!T32</f>
        <v>0</v>
      </c>
      <c r="I32" s="362"/>
      <c r="J32" s="362"/>
      <c r="K32" s="359"/>
    </row>
    <row r="33" spans="1:11" s="360" customFormat="1">
      <c r="A33" s="145" t="s">
        <v>138</v>
      </c>
      <c r="B33" s="361">
        <f>'Sources and Uses Budget'!C33</f>
        <v>2261186</v>
      </c>
      <c r="C33" s="362"/>
      <c r="D33" s="362"/>
      <c r="E33" s="361">
        <f>'Sources and Uses Budget'!S33</f>
        <v>2261186</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918893</v>
      </c>
      <c r="C35" s="362"/>
      <c r="D35" s="362"/>
      <c r="E35" s="361">
        <f>'Sources and Uses Budget'!S35</f>
        <v>918893</v>
      </c>
      <c r="F35" s="362"/>
      <c r="G35" s="362"/>
      <c r="H35" s="361">
        <f>'Sources and Uses Budget'!T35</f>
        <v>0</v>
      </c>
      <c r="I35" s="362"/>
      <c r="J35" s="362"/>
      <c r="K35" s="359"/>
    </row>
    <row r="36" spans="1:11" s="360" customFormat="1">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36136729</v>
      </c>
      <c r="C38" s="361">
        <f>SUM(C29:C37)</f>
        <v>0</v>
      </c>
      <c r="D38" s="361">
        <f>SUM(D29:D37)</f>
        <v>0</v>
      </c>
      <c r="E38" s="361">
        <f>'Sources and Uses Budget'!S38</f>
        <v>35136729</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850049</v>
      </c>
      <c r="C40" s="362"/>
      <c r="D40" s="362"/>
      <c r="E40" s="361">
        <f>'Sources and Uses Budget'!S40</f>
        <v>850049</v>
      </c>
      <c r="F40" s="362"/>
      <c r="G40" s="362"/>
      <c r="H40" s="361">
        <f>'Sources and Uses Budget'!T40</f>
        <v>0</v>
      </c>
      <c r="I40" s="362"/>
      <c r="J40" s="362"/>
      <c r="K40" s="359"/>
    </row>
    <row r="41" spans="1:11" s="360" customFormat="1">
      <c r="A41" s="364" t="s">
        <v>146</v>
      </c>
      <c r="B41" s="361">
        <f>'Sources and Uses Budget'!C41</f>
        <v>105000</v>
      </c>
      <c r="C41" s="362"/>
      <c r="D41" s="362"/>
      <c r="E41" s="361">
        <f>'Sources and Uses Budget'!S41</f>
        <v>105000</v>
      </c>
      <c r="F41" s="362"/>
      <c r="G41" s="362"/>
      <c r="H41" s="361">
        <f>'Sources and Uses Budget'!T41</f>
        <v>0</v>
      </c>
      <c r="I41" s="362"/>
      <c r="J41" s="362"/>
      <c r="K41" s="359"/>
    </row>
    <row r="42" spans="1:11" s="360" customFormat="1">
      <c r="A42" s="365" t="s">
        <v>147</v>
      </c>
      <c r="B42" s="361">
        <f>'Sources and Uses Budget'!C42</f>
        <v>955049</v>
      </c>
      <c r="C42" s="361">
        <f>SUM(C39:C41)</f>
        <v>0</v>
      </c>
      <c r="D42" s="361">
        <f>SUM(D39:D41)</f>
        <v>0</v>
      </c>
      <c r="E42" s="361">
        <f>'Sources and Uses Budget'!S42</f>
        <v>955049</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983306</v>
      </c>
      <c r="C43" s="362"/>
      <c r="D43" s="362"/>
      <c r="E43" s="361">
        <f>'Sources and Uses Budget'!S43</f>
        <v>983306</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3095188</v>
      </c>
      <c r="C45" s="362"/>
      <c r="D45" s="362"/>
      <c r="E45" s="361">
        <f>'Sources and Uses Budget'!S45</f>
        <v>2476158</v>
      </c>
      <c r="F45" s="362"/>
      <c r="G45" s="362"/>
      <c r="H45" s="361">
        <f>'Sources and Uses Budget'!T45</f>
        <v>0</v>
      </c>
      <c r="I45" s="362"/>
      <c r="J45" s="362"/>
      <c r="K45" s="359"/>
    </row>
    <row r="46" spans="1:11" s="360" customFormat="1">
      <c r="A46" s="364" t="s">
        <v>151</v>
      </c>
      <c r="B46" s="361">
        <f>'Sources and Uses Budget'!C46</f>
        <v>425127</v>
      </c>
      <c r="C46" s="362"/>
      <c r="D46" s="362"/>
      <c r="E46" s="361">
        <f>'Sources and Uses Budget'!S46</f>
        <v>339178</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840000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75000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4435315</v>
      </c>
      <c r="C54" s="367">
        <f>SUM(C45:C53)</f>
        <v>0</v>
      </c>
      <c r="D54" s="367">
        <f>SUM(D45:D53)</f>
        <v>0</v>
      </c>
      <c r="E54" s="361">
        <f>'Sources and Uses Budget'!S54</f>
        <v>2890336</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271133</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75000</v>
      </c>
      <c r="C58" s="362"/>
      <c r="D58" s="362"/>
      <c r="E58" s="363"/>
      <c r="F58" s="363"/>
      <c r="G58" s="363"/>
      <c r="H58" s="363"/>
      <c r="I58" s="363"/>
      <c r="J58" s="363"/>
      <c r="K58" s="359"/>
    </row>
    <row r="59" spans="1:11" s="360" customFormat="1">
      <c r="A59" s="364" t="s">
        <v>154</v>
      </c>
      <c r="B59" s="361">
        <f>'Sources and Uses Budget'!C59</f>
        <v>437896</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784029</v>
      </c>
      <c r="C62" s="361">
        <f>SUM(C56:C61)</f>
        <v>0</v>
      </c>
      <c r="D62" s="361">
        <f>SUM(D56:D61)</f>
        <v>0</v>
      </c>
      <c r="E62" s="363"/>
      <c r="F62" s="363"/>
      <c r="G62" s="363"/>
      <c r="H62" s="363"/>
      <c r="I62" s="363"/>
      <c r="J62" s="363"/>
      <c r="K62" s="359"/>
    </row>
    <row r="63" spans="1:11" s="360" customFormat="1">
      <c r="A63" s="370" t="s">
        <v>302</v>
      </c>
      <c r="B63" s="361">
        <f>'Sources and Uses Budget'!C63</f>
        <v>44194428</v>
      </c>
      <c r="C63" s="361">
        <f>SUM(C8+C11+C13+C14+C15+C26+C27+C38+C42+C43+C54+C62)</f>
        <v>0</v>
      </c>
      <c r="D63" s="361">
        <f>SUM(D8+D11+D13+D14+D15+D26+D27+D38+D42+D43+D54+D62)</f>
        <v>0</v>
      </c>
      <c r="E63" s="361">
        <f>'Sources and Uses Budget'!S63</f>
        <v>39965420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171</v>
      </c>
      <c r="B65" s="361">
        <f>'Sources and Uses Budget'!C65</f>
        <v>471431</v>
      </c>
      <c r="C65" s="362"/>
      <c r="D65" s="362"/>
      <c r="E65" s="361">
        <f>'Sources and Uses Budget'!S65</f>
        <v>150000</v>
      </c>
      <c r="F65" s="362"/>
      <c r="G65" s="362"/>
      <c r="H65" s="361">
        <f>'Sources and Uses Budget'!T65</f>
        <v>0</v>
      </c>
      <c r="I65" s="362"/>
      <c r="J65" s="362"/>
      <c r="K65" s="359"/>
    </row>
    <row r="66" spans="1:11" s="360" customFormat="1" ht="24">
      <c r="A66" s="283" t="s">
        <v>1629</v>
      </c>
      <c r="B66" s="361">
        <f>'Sources and Uses Budget'!C66</f>
        <v>550000</v>
      </c>
      <c r="C66" s="362"/>
      <c r="D66" s="362"/>
      <c r="E66" s="361">
        <f>'Sources and Uses Budget'!S66</f>
        <v>550000</v>
      </c>
      <c r="F66" s="362"/>
      <c r="G66" s="362"/>
      <c r="H66" s="361">
        <f>'Sources and Uses Budget'!T66</f>
        <v>0</v>
      </c>
      <c r="I66" s="362"/>
      <c r="J66" s="362"/>
      <c r="K66" s="359"/>
    </row>
    <row r="67" spans="1:11" s="360" customFormat="1" ht="24">
      <c r="A67" s="283" t="s">
        <v>1630</v>
      </c>
      <c r="B67" s="361">
        <f>'Sources and Uses Budget'!C67</f>
        <v>67422</v>
      </c>
      <c r="C67" s="362"/>
      <c r="D67" s="362"/>
      <c r="E67" s="361">
        <f>'Sources and Uses Budget'!S67</f>
        <v>67422</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1088853</v>
      </c>
      <c r="C70" s="361">
        <f>SUM(C64:C69)</f>
        <v>0</v>
      </c>
      <c r="D70" s="361">
        <f>SUM(D64:D69)</f>
        <v>0</v>
      </c>
      <c r="E70" s="361">
        <f>'Sources and Uses Budget'!S70</f>
        <v>767422</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799247</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799247</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1537900</v>
      </c>
      <c r="C79" s="362"/>
      <c r="D79" s="362"/>
      <c r="E79" s="361">
        <f>'Sources and Uses Budget'!S79</f>
        <v>1537900</v>
      </c>
      <c r="F79" s="362"/>
      <c r="G79" s="362"/>
      <c r="H79" s="361">
        <f>'Sources and Uses Budget'!T79</f>
        <v>0</v>
      </c>
      <c r="I79" s="362"/>
      <c r="J79" s="362"/>
      <c r="K79" s="359"/>
    </row>
    <row r="80" spans="1:11" s="360" customFormat="1">
      <c r="A80" s="364" t="s">
        <v>58</v>
      </c>
      <c r="B80" s="361">
        <f>'Sources and Uses Budget'!C80</f>
        <v>475000</v>
      </c>
      <c r="C80" s="362"/>
      <c r="D80" s="362"/>
      <c r="E80" s="361">
        <f>'Sources and Uses Budget'!S80</f>
        <v>475000</v>
      </c>
      <c r="F80" s="362"/>
      <c r="G80" s="362"/>
      <c r="H80" s="361">
        <f>'Sources and Uses Budget'!T80</f>
        <v>0</v>
      </c>
      <c r="I80" s="362"/>
      <c r="J80" s="362"/>
      <c r="K80" s="359"/>
    </row>
    <row r="81" spans="1:11" s="360" customFormat="1">
      <c r="A81" s="365" t="s">
        <v>1208</v>
      </c>
      <c r="B81" s="361">
        <f>'Sources and Uses Budget'!C81</f>
        <v>2012900</v>
      </c>
      <c r="C81" s="361">
        <f>SUM(C79:C80)</f>
        <v>0</v>
      </c>
      <c r="D81" s="361">
        <f>SUM(D79:D80)</f>
        <v>0</v>
      </c>
      <c r="E81" s="361">
        <f>'Sources and Uses Budget'!S81</f>
        <v>2012900</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2050</v>
      </c>
      <c r="B83" s="361">
        <f>'Sources and Uses Budget'!C83</f>
        <v>206534</v>
      </c>
      <c r="C83" s="362"/>
      <c r="D83" s="362"/>
      <c r="E83" s="363"/>
      <c r="F83" s="363"/>
      <c r="G83" s="363"/>
      <c r="H83" s="363"/>
      <c r="I83" s="363"/>
      <c r="J83" s="363"/>
      <c r="K83" s="359"/>
    </row>
    <row r="84" spans="1:11" s="360" customFormat="1">
      <c r="A84" s="145" t="s">
        <v>767</v>
      </c>
      <c r="B84" s="361">
        <f>'Sources and Uses Budget'!C84</f>
        <v>47428</v>
      </c>
      <c r="C84" s="362"/>
      <c r="D84" s="362"/>
      <c r="E84" s="361">
        <f>'Sources and Uses Budget'!S84</f>
        <v>47428</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1700566</v>
      </c>
      <c r="C86" s="362"/>
      <c r="D86" s="362"/>
      <c r="E86" s="361">
        <f>'Sources and Uses Budget'!S86</f>
        <v>1700566</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50000</v>
      </c>
      <c r="C88" s="362"/>
      <c r="D88" s="362"/>
      <c r="E88" s="363"/>
      <c r="F88" s="363"/>
      <c r="G88" s="363"/>
      <c r="H88" s="363"/>
      <c r="I88" s="363"/>
      <c r="J88" s="363"/>
      <c r="K88" s="359"/>
    </row>
    <row r="89" spans="1:11" s="360" customFormat="1">
      <c r="A89" s="145" t="s">
        <v>772</v>
      </c>
      <c r="B89" s="361">
        <f>'Sources and Uses Budget'!C89</f>
        <v>250000</v>
      </c>
      <c r="C89" s="362"/>
      <c r="D89" s="362"/>
      <c r="E89" s="361">
        <f>'Sources and Uses Budget'!S89</f>
        <v>250000</v>
      </c>
      <c r="F89" s="362"/>
      <c r="G89" s="362"/>
      <c r="H89" s="361">
        <f>'Sources and Uses Budget'!T89</f>
        <v>0</v>
      </c>
      <c r="I89" s="362"/>
      <c r="J89" s="362"/>
      <c r="K89" s="359"/>
    </row>
    <row r="90" spans="1:11" s="360" customFormat="1">
      <c r="A90" s="145" t="s">
        <v>773</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155853</v>
      </c>
      <c r="C91" s="362"/>
      <c r="D91" s="362"/>
      <c r="E91" s="361">
        <f>'Sources and Uses Budget'!S91</f>
        <v>155853</v>
      </c>
      <c r="F91" s="362"/>
      <c r="G91" s="362"/>
      <c r="H91" s="361">
        <f>'Sources and Uses Budget'!T91</f>
        <v>0</v>
      </c>
      <c r="I91" s="362"/>
      <c r="J91" s="362"/>
      <c r="K91" s="359"/>
    </row>
    <row r="92" spans="1:11" s="360" customFormat="1">
      <c r="A92" s="508" t="s">
        <v>1210</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2430381</v>
      </c>
      <c r="C96" s="361">
        <f>SUM(C83:C95)</f>
        <v>0</v>
      </c>
      <c r="D96" s="361">
        <f>SUM(D83:D95)</f>
        <v>0</v>
      </c>
      <c r="E96" s="361">
        <f>'Sources and Uses Budget'!S96</f>
        <v>2173847</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50525809</v>
      </c>
      <c r="C97" s="361">
        <f>SUM(C63+C70+C77+C81+C96)</f>
        <v>0</v>
      </c>
      <c r="D97" s="361">
        <f>SUM(D63+D70+D77+D81+D96)</f>
        <v>0</v>
      </c>
      <c r="E97" s="361">
        <f>'Sources and Uses Budget'!S97</f>
        <v>44919589</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6737938</v>
      </c>
      <c r="C99" s="362"/>
      <c r="D99" s="362"/>
      <c r="E99" s="361">
        <f>'Sources and Uses Budget'!S99</f>
        <v>6737938</v>
      </c>
      <c r="F99" s="362"/>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6737938</v>
      </c>
      <c r="C104" s="361">
        <f>SUM(C99:C103)</f>
        <v>0</v>
      </c>
      <c r="D104" s="361">
        <f>SUM(D99:D103)</f>
        <v>0</v>
      </c>
      <c r="E104" s="361">
        <f>'Sources and Uses Budget'!S104</f>
        <v>6737938</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57263747</v>
      </c>
      <c r="C105" s="367">
        <f>SUM(C97+C104)</f>
        <v>0</v>
      </c>
      <c r="D105" s="367">
        <f>SUM(D97+D104)</f>
        <v>0</v>
      </c>
      <c r="E105" s="361">
        <f>'Sources and Uses Budget'!S105</f>
        <v>51657527</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51657527</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0"/>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1"/>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21" t="s">
        <v>2390</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3"/>
    </row>
    <row r="2" spans="1:65" ht="15.75" customHeight="1">
      <c r="A2" s="2324" t="s">
        <v>2389</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6"/>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5" t="s">
        <v>2594</v>
      </c>
      <c r="AY3" s="2176"/>
      <c r="AZ3" s="2176"/>
      <c r="BA3" s="2327"/>
      <c r="BB3" s="2175" t="s">
        <v>2595</v>
      </c>
      <c r="BC3" s="2176"/>
      <c r="BD3" s="2176"/>
      <c r="BE3" s="2327"/>
    </row>
    <row r="4" spans="1:65" ht="15.75" customHeight="1" thickBot="1">
      <c r="A4" s="1207"/>
      <c r="B4" s="1209" t="s">
        <v>656</v>
      </c>
      <c r="C4" s="1209"/>
      <c r="D4" s="1209"/>
      <c r="E4" s="1209"/>
      <c r="F4" s="1209"/>
      <c r="G4" s="1208"/>
      <c r="H4" s="1208"/>
      <c r="I4" s="1208"/>
      <c r="J4" s="1208"/>
      <c r="K4" s="1208"/>
      <c r="L4" s="2318" t="str">
        <f>IF(Application!H18="","",Application!H18)</f>
        <v>975 Manhattan</v>
      </c>
      <c r="M4" s="2319"/>
      <c r="N4" s="2319"/>
      <c r="O4" s="2319"/>
      <c r="P4" s="2319"/>
      <c r="Q4" s="2319"/>
      <c r="R4" s="2319"/>
      <c r="S4" s="2319"/>
      <c r="T4" s="2319"/>
      <c r="U4" s="2319"/>
      <c r="V4" s="2319"/>
      <c r="W4" s="2319"/>
      <c r="X4" s="2319"/>
      <c r="Y4" s="2319"/>
      <c r="Z4" s="2319"/>
      <c r="AA4" s="2319"/>
      <c r="AB4" s="2319"/>
      <c r="AC4" s="2320"/>
      <c r="AD4" s="1208"/>
      <c r="AE4" s="1208"/>
      <c r="AF4" s="2307" t="s">
        <v>2388</v>
      </c>
      <c r="AG4" s="2307"/>
      <c r="AH4" s="2307"/>
      <c r="AI4" s="2307"/>
      <c r="AJ4" s="2307"/>
      <c r="AK4" s="2307"/>
      <c r="AL4" s="2307"/>
      <c r="AM4" s="2307"/>
      <c r="AN4" s="2307"/>
      <c r="AO4" s="2307"/>
      <c r="AP4" s="2308"/>
      <c r="AQ4" s="2309"/>
      <c r="AR4" s="2309"/>
      <c r="AS4" s="2309"/>
      <c r="AT4" s="2309"/>
      <c r="AU4" s="2309"/>
      <c r="AV4" s="1208"/>
      <c r="AW4" s="1208"/>
      <c r="AX4" s="2315" t="s">
        <v>2596</v>
      </c>
      <c r="AY4" s="2316"/>
      <c r="AZ4" s="2316"/>
      <c r="BA4" s="2317"/>
      <c r="BB4" s="1210">
        <f t="array" ref="BB4">ROUNDDOWN(SUM(IF((B19:I27&gt;0)*(B19:I27&lt;=30%),J19:O27,0))/J29,2)</f>
        <v>0.23</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7" t="s">
        <v>2387</v>
      </c>
      <c r="AG5" s="2307"/>
      <c r="AH5" s="2307"/>
      <c r="AI5" s="2307"/>
      <c r="AJ5" s="2307"/>
      <c r="AK5" s="2307"/>
      <c r="AL5" s="2307"/>
      <c r="AM5" s="2307"/>
      <c r="AN5" s="2307"/>
      <c r="AO5" s="2307"/>
      <c r="AP5" s="2308"/>
      <c r="AQ5" s="2309"/>
      <c r="AR5" s="2309"/>
      <c r="AS5" s="2309"/>
      <c r="AT5" s="2309"/>
      <c r="AU5" s="2309"/>
      <c r="AV5" s="1208"/>
      <c r="AW5" s="1208"/>
      <c r="AX5" s="2315" t="s">
        <v>2597</v>
      </c>
      <c r="AY5" s="2316"/>
      <c r="AZ5" s="2316"/>
      <c r="BA5" s="2317"/>
      <c r="BB5" s="1210">
        <f t="array" ref="BB5">ROUNDDOWN(SUM(IF((B19:I27&gt;0%)*(B19:I27&lt;=50%),J19:O27,0))/J29,2)</f>
        <v>0.23</v>
      </c>
      <c r="BC5" s="1211"/>
      <c r="BD5" s="1211"/>
      <c r="BE5" s="1212"/>
    </row>
    <row r="6" spans="1:65" ht="15.75" customHeight="1" thickBot="1">
      <c r="A6" s="1207"/>
      <c r="B6" s="1209" t="s">
        <v>2386</v>
      </c>
      <c r="C6" s="1208"/>
      <c r="D6" s="1208"/>
      <c r="E6" s="1208"/>
      <c r="F6" s="1208"/>
      <c r="G6" s="1208"/>
      <c r="H6" s="1208"/>
      <c r="I6" s="1208"/>
      <c r="J6" s="1208"/>
      <c r="K6" s="1208"/>
      <c r="L6" s="2318" t="str">
        <f>IF(Application!H16="","",Application!H16)</f>
        <v>975 Manhattan, LLC</v>
      </c>
      <c r="M6" s="2319"/>
      <c r="N6" s="2319"/>
      <c r="O6" s="2319"/>
      <c r="P6" s="2319"/>
      <c r="Q6" s="2319"/>
      <c r="R6" s="2319"/>
      <c r="S6" s="2319"/>
      <c r="T6" s="2319"/>
      <c r="U6" s="2319"/>
      <c r="V6" s="2319"/>
      <c r="W6" s="2319"/>
      <c r="X6" s="2319"/>
      <c r="Y6" s="2319"/>
      <c r="Z6" s="2319"/>
      <c r="AA6" s="2319"/>
      <c r="AB6" s="2319"/>
      <c r="AC6" s="2320"/>
      <c r="AD6" s="1208"/>
      <c r="AE6" s="1208"/>
      <c r="AF6" s="2310" t="s">
        <v>2385</v>
      </c>
      <c r="AG6" s="2310"/>
      <c r="AH6" s="2310"/>
      <c r="AI6" s="2310"/>
      <c r="AJ6" s="2310"/>
      <c r="AK6" s="2310"/>
      <c r="AL6" s="2310"/>
      <c r="AM6" s="2310"/>
      <c r="AN6" s="2310"/>
      <c r="AO6" s="2310"/>
      <c r="AP6" s="2311"/>
      <c r="AQ6" s="2311"/>
      <c r="AR6" s="2311"/>
      <c r="AS6" s="2311"/>
      <c r="AT6" s="2311"/>
      <c r="AU6" s="2311"/>
      <c r="AV6" s="1208"/>
      <c r="AW6" s="1208"/>
      <c r="AX6" s="2315" t="s">
        <v>2598</v>
      </c>
      <c r="AY6" s="2316"/>
      <c r="AZ6" s="2316"/>
      <c r="BA6" s="2317"/>
      <c r="BB6" s="1210">
        <f t="array" ref="BB6">ROUNDDOWN(SUM(IF((B19:I27&gt;60%)*(B19:I27&lt;=80%),J19:O27,0))/J29,2)</f>
        <v>0.68</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0" t="s">
        <v>2384</v>
      </c>
      <c r="AG7" s="2310"/>
      <c r="AH7" s="2310"/>
      <c r="AI7" s="2310"/>
      <c r="AJ7" s="2310"/>
      <c r="AK7" s="2310"/>
      <c r="AL7" s="2310"/>
      <c r="AM7" s="2310"/>
      <c r="AN7" s="2310"/>
      <c r="AO7" s="2310"/>
      <c r="AP7" s="2311"/>
      <c r="AQ7" s="2311"/>
      <c r="AR7" s="2311"/>
      <c r="AS7" s="2311"/>
      <c r="AT7" s="2311"/>
      <c r="AU7" s="2311"/>
      <c r="AV7" s="1208"/>
      <c r="AW7" s="1208"/>
      <c r="AX7" s="1208"/>
      <c r="AY7" s="1208"/>
      <c r="AZ7" s="1208"/>
      <c r="BA7" s="1208"/>
      <c r="BB7" s="1208"/>
      <c r="BC7" s="1208"/>
      <c r="BD7" s="1208"/>
      <c r="BE7" s="1213"/>
    </row>
    <row r="8" spans="1:65" thickBot="1">
      <c r="A8" s="1207"/>
      <c r="B8" s="1209" t="s">
        <v>2635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2" t="str">
        <f>Application!T197</f>
        <v>No</v>
      </c>
      <c r="AC8" s="2313"/>
      <c r="AD8" s="2314"/>
      <c r="AE8" s="1208"/>
      <c r="AF8" s="2310" t="s">
        <v>2383</v>
      </c>
      <c r="AG8" s="2310"/>
      <c r="AH8" s="2310"/>
      <c r="AI8" s="2310"/>
      <c r="AJ8" s="2310"/>
      <c r="AK8" s="2310"/>
      <c r="AL8" s="2310"/>
      <c r="AM8" s="2310"/>
      <c r="AN8" s="2310"/>
      <c r="AO8" s="2310"/>
      <c r="AP8" s="2311" t="s">
        <v>2054</v>
      </c>
      <c r="AQ8" s="2311"/>
      <c r="AR8" s="2311"/>
      <c r="AS8" s="2311"/>
      <c r="AT8" s="2311"/>
      <c r="AU8" s="2311"/>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7" t="s">
        <v>2382</v>
      </c>
      <c r="AG9" s="2307"/>
      <c r="AH9" s="2307"/>
      <c r="AI9" s="2307"/>
      <c r="AJ9" s="2307"/>
      <c r="AK9" s="2307"/>
      <c r="AL9" s="2307"/>
      <c r="AM9" s="2307"/>
      <c r="AN9" s="2307"/>
      <c r="AO9" s="2307"/>
      <c r="AP9" s="2308"/>
      <c r="AQ9" s="2309"/>
      <c r="AR9" s="2309"/>
      <c r="AS9" s="2309"/>
      <c r="AT9" s="2309"/>
      <c r="AU9" s="2309"/>
      <c r="AV9" s="1208"/>
      <c r="AW9" s="1208"/>
      <c r="AX9" s="1208"/>
      <c r="AY9" s="1208"/>
      <c r="AZ9" s="1208"/>
      <c r="BA9" s="1208"/>
      <c r="BB9" s="1208"/>
      <c r="BC9" s="1208"/>
      <c r="BD9" s="1208"/>
      <c r="BE9" s="1213"/>
      <c r="BM9" s="1204" t="s">
        <v>2381</v>
      </c>
    </row>
    <row r="10" spans="1:65" ht="15">
      <c r="A10" s="1207"/>
      <c r="B10" s="1209" t="s">
        <v>2380</v>
      </c>
      <c r="C10" s="1209"/>
      <c r="D10" s="1209"/>
      <c r="E10" s="1209"/>
      <c r="F10" s="1209"/>
      <c r="G10" s="1209"/>
      <c r="H10" s="1209"/>
      <c r="I10" s="1209"/>
      <c r="J10" s="1209"/>
      <c r="K10" s="1209"/>
      <c r="L10" s="1209"/>
      <c r="M10" s="1208"/>
      <c r="N10" s="2306">
        <f>Application!AO635</f>
        <v>27113347</v>
      </c>
      <c r="O10" s="2306"/>
      <c r="P10" s="2306"/>
      <c r="Q10" s="2306"/>
      <c r="R10" s="2306"/>
      <c r="S10" s="2306"/>
      <c r="T10" s="2306"/>
      <c r="U10" s="1208"/>
      <c r="V10" s="1208"/>
      <c r="W10" s="1208"/>
      <c r="X10" s="1214"/>
      <c r="Y10" s="1214"/>
      <c r="Z10" s="1214"/>
      <c r="AA10" s="1214"/>
      <c r="AB10" s="1214"/>
      <c r="AC10" s="1214"/>
      <c r="AD10" s="1214"/>
      <c r="AE10" s="1214"/>
      <c r="AF10" s="2307" t="s">
        <v>2379</v>
      </c>
      <c r="AG10" s="2307"/>
      <c r="AH10" s="2307"/>
      <c r="AI10" s="2307"/>
      <c r="AJ10" s="2307"/>
      <c r="AK10" s="2307"/>
      <c r="AL10" s="2307"/>
      <c r="AM10" s="2307"/>
      <c r="AN10" s="2307"/>
      <c r="AO10" s="2307"/>
      <c r="AP10" s="2308"/>
      <c r="AQ10" s="2309"/>
      <c r="AR10" s="2309"/>
      <c r="AS10" s="2309"/>
      <c r="AT10" s="2309"/>
      <c r="AU10" s="2309"/>
      <c r="AV10" s="1214"/>
      <c r="AW10" s="1214"/>
      <c r="AX10" s="1208"/>
      <c r="AY10" s="1208"/>
      <c r="AZ10" s="1208"/>
      <c r="BA10" s="1208"/>
      <c r="BB10" s="1208"/>
      <c r="BC10" s="1208"/>
      <c r="BD10" s="1208"/>
      <c r="BE10" s="1213"/>
      <c r="BM10" s="1204" t="s">
        <v>2378</v>
      </c>
    </row>
    <row r="11" spans="1:65" ht="15">
      <c r="A11" s="1207"/>
      <c r="B11" s="1209" t="s">
        <v>2377</v>
      </c>
      <c r="C11" s="1209"/>
      <c r="D11" s="1209"/>
      <c r="E11" s="1209"/>
      <c r="F11" s="1209"/>
      <c r="G11" s="1209"/>
      <c r="H11" s="1209"/>
      <c r="I11" s="1209"/>
      <c r="J11" s="1209"/>
      <c r="K11" s="1209"/>
      <c r="L11" s="1209"/>
      <c r="M11" s="1208"/>
      <c r="N11" s="2306">
        <f>Application!AA943</f>
        <v>0</v>
      </c>
      <c r="O11" s="2306"/>
      <c r="P11" s="2306"/>
      <c r="Q11" s="2306"/>
      <c r="R11" s="2306"/>
      <c r="S11" s="2306"/>
      <c r="T11" s="2306"/>
      <c r="U11" s="1208"/>
      <c r="V11" s="1208"/>
      <c r="W11" s="1208"/>
      <c r="X11" s="1214"/>
      <c r="Y11" s="1214"/>
      <c r="Z11" s="1214"/>
      <c r="AA11" s="1214"/>
      <c r="AB11" s="1214"/>
      <c r="AC11" s="1214"/>
      <c r="AD11" s="1214"/>
      <c r="AE11" s="1214"/>
      <c r="AF11" s="2307" t="s">
        <v>2376</v>
      </c>
      <c r="AG11" s="2307"/>
      <c r="AH11" s="2307"/>
      <c r="AI11" s="2307"/>
      <c r="AJ11" s="2307"/>
      <c r="AK11" s="2307"/>
      <c r="AL11" s="2307"/>
      <c r="AM11" s="2307"/>
      <c r="AN11" s="2307"/>
      <c r="AO11" s="2307"/>
      <c r="AP11" s="2308"/>
      <c r="AQ11" s="2309"/>
      <c r="AR11" s="2309"/>
      <c r="AS11" s="2309"/>
      <c r="AT11" s="2309"/>
      <c r="AU11" s="2309"/>
      <c r="AV11" s="1214"/>
      <c r="AW11" s="1214"/>
      <c r="AX11" s="1208"/>
      <c r="AY11" s="1208"/>
      <c r="AZ11" s="1208"/>
      <c r="BA11" s="1208"/>
      <c r="BB11" s="1208"/>
      <c r="BC11" s="1208"/>
      <c r="BD11" s="1208"/>
      <c r="BE11" s="1213"/>
      <c r="BM11" s="1204" t="s">
        <v>2054</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2375</v>
      </c>
    </row>
    <row r="13" spans="1:65" thickBot="1">
      <c r="A13" s="1208"/>
      <c r="B13" s="2297" t="s">
        <v>2374</v>
      </c>
      <c r="C13" s="2298"/>
      <c r="D13" s="2298"/>
      <c r="E13" s="2298"/>
      <c r="F13" s="2298"/>
      <c r="G13" s="2298"/>
      <c r="H13" s="2298"/>
      <c r="I13" s="2298"/>
      <c r="J13" s="2298"/>
      <c r="K13" s="2298"/>
      <c r="L13" s="2298"/>
      <c r="M13" s="2298"/>
      <c r="N13" s="2298"/>
      <c r="O13" s="2298"/>
      <c r="P13" s="2299"/>
      <c r="Q13" s="2300" t="s">
        <v>669</v>
      </c>
      <c r="R13" s="2301"/>
      <c r="S13" s="2301"/>
      <c r="T13" s="2302"/>
      <c r="U13" s="1214"/>
      <c r="V13" s="1208"/>
      <c r="W13" s="1208"/>
      <c r="X13" s="1208"/>
      <c r="Y13" s="1208"/>
      <c r="Z13" s="1208"/>
      <c r="AA13" s="2287" t="s">
        <v>2373</v>
      </c>
      <c r="AB13" s="2287"/>
      <c r="AC13" s="2287"/>
      <c r="AD13" s="2287"/>
      <c r="AE13" s="2287"/>
      <c r="AF13" s="2287"/>
      <c r="AG13" s="2287"/>
      <c r="AH13" s="2287"/>
      <c r="AI13" s="2287"/>
      <c r="AJ13" s="2287"/>
      <c r="AK13" s="2287"/>
      <c r="AL13" s="2287"/>
      <c r="AM13" s="2287"/>
      <c r="AN13" s="2287"/>
      <c r="AO13" s="2303">
        <f>Application!W481</f>
        <v>37</v>
      </c>
      <c r="AP13" s="2304"/>
      <c r="AQ13" s="2304"/>
      <c r="AR13" s="2304"/>
      <c r="AS13" s="2304"/>
      <c r="AT13" s="1214"/>
      <c r="AU13" s="1214"/>
      <c r="AV13" s="1214"/>
      <c r="AW13" s="1214"/>
      <c r="AX13" s="1214"/>
      <c r="AY13" s="1214"/>
      <c r="AZ13" s="1214"/>
      <c r="BA13" s="1214"/>
      <c r="BB13" s="1214"/>
      <c r="BC13" s="1214"/>
      <c r="BD13" s="1214"/>
      <c r="BE13" s="1215"/>
      <c r="BM13" s="1204" t="s">
        <v>2372</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5" t="s">
        <v>2371</v>
      </c>
      <c r="AB14" s="2305"/>
      <c r="AC14" s="2305"/>
      <c r="AD14" s="2305"/>
      <c r="AE14" s="2305"/>
      <c r="AF14" s="2305"/>
      <c r="AG14" s="2305"/>
      <c r="AH14" s="2305"/>
      <c r="AI14" s="2305"/>
      <c r="AJ14" s="2305"/>
      <c r="AK14" s="2305"/>
      <c r="AL14" s="2305"/>
      <c r="AM14" s="2305"/>
      <c r="AN14" s="2305"/>
      <c r="AO14" s="2288"/>
      <c r="AP14" s="2289"/>
      <c r="AQ14" s="2289"/>
      <c r="AR14" s="2289"/>
      <c r="AS14" s="2289"/>
      <c r="AT14" s="1214"/>
      <c r="AU14" s="1214"/>
      <c r="AV14" s="1214"/>
      <c r="AW14" s="1214"/>
      <c r="AX14" s="1214"/>
      <c r="AY14" s="1214"/>
      <c r="AZ14" s="1214"/>
      <c r="BA14" s="1214"/>
      <c r="BB14" s="1214"/>
      <c r="BC14" s="1214"/>
      <c r="BD14" s="1214"/>
      <c r="BE14" s="1215"/>
    </row>
    <row r="15" spans="1:65" thickBot="1">
      <c r="A15" s="1208"/>
      <c r="B15" s="2282" t="s">
        <v>2370</v>
      </c>
      <c r="C15" s="2283"/>
      <c r="D15" s="2283"/>
      <c r="E15" s="2283"/>
      <c r="F15" s="2283"/>
      <c r="G15" s="2283"/>
      <c r="H15" s="2283"/>
      <c r="I15" s="2283"/>
      <c r="J15" s="2283"/>
      <c r="K15" s="2283"/>
      <c r="L15" s="2283"/>
      <c r="M15" s="2283"/>
      <c r="N15" s="2283"/>
      <c r="O15" s="2283"/>
      <c r="P15" s="2283"/>
      <c r="Q15" s="2283"/>
      <c r="R15" s="2284"/>
      <c r="S15" s="2285" t="str">
        <f>IF(Application!AB215="","",Application!AB215)</f>
        <v/>
      </c>
      <c r="T15" s="2285"/>
      <c r="U15" s="2285"/>
      <c r="V15" s="2285"/>
      <c r="W15" s="2286"/>
      <c r="X15" s="1214"/>
      <c r="Y15" s="1208"/>
      <c r="Z15" s="1208"/>
      <c r="AA15" s="2287" t="s">
        <v>2369</v>
      </c>
      <c r="AB15" s="2287"/>
      <c r="AC15" s="2287"/>
      <c r="AD15" s="2287"/>
      <c r="AE15" s="2287"/>
      <c r="AF15" s="2287"/>
      <c r="AG15" s="2287"/>
      <c r="AH15" s="2287"/>
      <c r="AI15" s="2287"/>
      <c r="AJ15" s="2287"/>
      <c r="AK15" s="2287"/>
      <c r="AL15" s="2287"/>
      <c r="AM15" s="2287"/>
      <c r="AN15" s="2287"/>
      <c r="AO15" s="2288"/>
      <c r="AP15" s="2289"/>
      <c r="AQ15" s="2289"/>
      <c r="AR15" s="2289"/>
      <c r="AS15" s="2289"/>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10" t="s">
        <v>2368</v>
      </c>
      <c r="C17" s="2111"/>
      <c r="D17" s="2111"/>
      <c r="E17" s="2111"/>
      <c r="F17" s="2111"/>
      <c r="G17" s="2111"/>
      <c r="H17" s="2111"/>
      <c r="I17" s="2111"/>
      <c r="J17" s="2111"/>
      <c r="K17" s="2111"/>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c r="AL17" s="2111"/>
      <c r="AM17" s="2111"/>
      <c r="AN17" s="2111"/>
      <c r="AO17" s="2111"/>
      <c r="AP17" s="2111"/>
      <c r="AQ17" s="2111"/>
      <c r="AR17" s="2111"/>
      <c r="AS17" s="2111"/>
      <c r="AT17" s="2111"/>
      <c r="AU17" s="2111"/>
      <c r="AV17" s="2111"/>
      <c r="AW17" s="2111"/>
      <c r="AX17" s="2111"/>
      <c r="AY17" s="2112"/>
      <c r="AZ17" s="1208"/>
      <c r="BA17" s="1208"/>
      <c r="BB17" s="1208"/>
      <c r="BC17" s="1208"/>
      <c r="BD17" s="1208"/>
      <c r="BE17" s="1215"/>
      <c r="BF17" s="1206"/>
    </row>
    <row r="18" spans="1:58" ht="15.75" customHeight="1">
      <c r="A18" s="1208"/>
      <c r="B18" s="2290" t="s">
        <v>2367</v>
      </c>
      <c r="C18" s="2291"/>
      <c r="D18" s="2291"/>
      <c r="E18" s="2291"/>
      <c r="F18" s="2291"/>
      <c r="G18" s="2291"/>
      <c r="H18" s="2291"/>
      <c r="I18" s="2292"/>
      <c r="J18" s="2293" t="s">
        <v>1574</v>
      </c>
      <c r="K18" s="2294"/>
      <c r="L18" s="2294"/>
      <c r="M18" s="2294"/>
      <c r="N18" s="2294"/>
      <c r="O18" s="2295"/>
      <c r="P18" s="2293" t="s">
        <v>324</v>
      </c>
      <c r="Q18" s="2294"/>
      <c r="R18" s="2294"/>
      <c r="S18" s="2294"/>
      <c r="T18" s="2294"/>
      <c r="U18" s="2295"/>
      <c r="V18" s="2293" t="s">
        <v>325</v>
      </c>
      <c r="W18" s="2294"/>
      <c r="X18" s="2294"/>
      <c r="Y18" s="2294"/>
      <c r="Z18" s="2294"/>
      <c r="AA18" s="2295"/>
      <c r="AB18" s="2293" t="s">
        <v>163</v>
      </c>
      <c r="AC18" s="2294"/>
      <c r="AD18" s="2294"/>
      <c r="AE18" s="2294"/>
      <c r="AF18" s="2294"/>
      <c r="AG18" s="2295"/>
      <c r="AH18" s="2293" t="s">
        <v>164</v>
      </c>
      <c r="AI18" s="2294"/>
      <c r="AJ18" s="2294"/>
      <c r="AK18" s="2294"/>
      <c r="AL18" s="2294"/>
      <c r="AM18" s="2295"/>
      <c r="AN18" s="2293" t="s">
        <v>165</v>
      </c>
      <c r="AO18" s="2294"/>
      <c r="AP18" s="2294"/>
      <c r="AQ18" s="2294"/>
      <c r="AR18" s="2294"/>
      <c r="AS18" s="2295"/>
      <c r="AT18" s="2293" t="s">
        <v>2366</v>
      </c>
      <c r="AU18" s="2294"/>
      <c r="AV18" s="2294"/>
      <c r="AW18" s="2294"/>
      <c r="AX18" s="2294"/>
      <c r="AY18" s="2296"/>
      <c r="AZ18" s="1208"/>
      <c r="BA18" s="1208"/>
      <c r="BB18" s="1208"/>
      <c r="BC18" s="1208"/>
      <c r="BD18" s="1208"/>
      <c r="BE18" s="1215"/>
    </row>
    <row r="19" spans="1:58" ht="15">
      <c r="A19" s="1208"/>
      <c r="B19" s="2276">
        <v>0.3</v>
      </c>
      <c r="C19" s="2277"/>
      <c r="D19" s="2277"/>
      <c r="E19" s="2277"/>
      <c r="F19" s="2277"/>
      <c r="G19" s="2277"/>
      <c r="H19" s="2277"/>
      <c r="I19" s="2278"/>
      <c r="J19" s="2279">
        <f t="shared" ref="J19:J24" si="0">SUM(P19:AS19)</f>
        <v>35</v>
      </c>
      <c r="K19" s="2280"/>
      <c r="L19" s="2280"/>
      <c r="M19" s="2280"/>
      <c r="N19" s="2280"/>
      <c r="O19" s="2281"/>
      <c r="P19" s="2279" cm="1">
        <f t="array" ref="P19">SUMPRODUCT((Application!$B$726:$B$760 = 'CalHFA Addendum'!P$18)*(Application!$AC$726:$AC$760 = 'CalHFA Addendum'!$B19),Application!$G$726:$G$760)</f>
        <v>0</v>
      </c>
      <c r="Q19" s="2280"/>
      <c r="R19" s="2280"/>
      <c r="S19" s="2280"/>
      <c r="T19" s="2280"/>
      <c r="U19" s="2281"/>
      <c r="V19" s="2279" cm="1">
        <f t="array" ref="V19">SUMPRODUCT((Application!$B$726:$B$760 = 'CalHFA Addendum'!V$18)*(Application!$AC$726:$AC$760 = 'CalHFA Addendum'!$B19),Application!$G$726:$G$760)</f>
        <v>17</v>
      </c>
      <c r="W19" s="2280"/>
      <c r="X19" s="2280"/>
      <c r="Y19" s="2280"/>
      <c r="Z19" s="2280"/>
      <c r="AA19" s="2281"/>
      <c r="AB19" s="2279" cm="1">
        <f t="array" ref="AB19">SUMPRODUCT((Application!$B$726:$B$760 = 'CalHFA Addendum'!AB$18)*(Application!$AC$726:$AC$760 = 'CalHFA Addendum'!$B19),Application!$G$726:$G$760)</f>
        <v>12</v>
      </c>
      <c r="AC19" s="2280"/>
      <c r="AD19" s="2280"/>
      <c r="AE19" s="2280"/>
      <c r="AF19" s="2280"/>
      <c r="AG19" s="2281"/>
      <c r="AH19" s="2279" cm="1">
        <f t="array" ref="AH19">SUMPRODUCT((Application!$B$726:$B$760 = 'CalHFA Addendum'!AH$18)*(Application!$AC$726:$AC$760 = 'CalHFA Addendum'!$B19),Application!$G$726:$G$760)</f>
        <v>6</v>
      </c>
      <c r="AI19" s="2280"/>
      <c r="AJ19" s="2280"/>
      <c r="AK19" s="2280"/>
      <c r="AL19" s="2280"/>
      <c r="AM19" s="2281"/>
      <c r="AN19" s="2279" cm="1">
        <f t="array" ref="AN19">SUMPRODUCT((Application!$B$726:$B$760 = 'CalHFA Addendum'!AN$18)*(Application!$AC$726:$AC$760 = 'CalHFA Addendum'!$B19),Application!$G$726:$G$760)</f>
        <v>0</v>
      </c>
      <c r="AO19" s="2280"/>
      <c r="AP19" s="2280"/>
      <c r="AQ19" s="2280"/>
      <c r="AR19" s="2280"/>
      <c r="AS19" s="2281"/>
      <c r="AT19" s="2264">
        <f>J19/$J$29</f>
        <v>0.23809523809523808</v>
      </c>
      <c r="AU19" s="2265"/>
      <c r="AV19" s="2265"/>
      <c r="AW19" s="2265"/>
      <c r="AX19" s="2265"/>
      <c r="AY19" s="2266"/>
      <c r="AZ19" s="1216"/>
      <c r="BA19" s="1208"/>
      <c r="BB19" s="1208"/>
      <c r="BC19" s="1208"/>
      <c r="BD19" s="1208"/>
      <c r="BE19" s="1215"/>
    </row>
    <row r="20" spans="1:58" ht="15" customHeight="1">
      <c r="A20" s="1208"/>
      <c r="B20" s="2276">
        <v>0.4</v>
      </c>
      <c r="C20" s="2277"/>
      <c r="D20" s="2277"/>
      <c r="E20" s="2277"/>
      <c r="F20" s="2277"/>
      <c r="G20" s="2277"/>
      <c r="H20" s="2277"/>
      <c r="I20" s="2278"/>
      <c r="J20" s="2279">
        <f t="shared" si="0"/>
        <v>0</v>
      </c>
      <c r="K20" s="2280"/>
      <c r="L20" s="2280"/>
      <c r="M20" s="2280"/>
      <c r="N20" s="2280"/>
      <c r="O20" s="2281"/>
      <c r="P20" s="2279" cm="1">
        <f t="array" ref="P20">SUMPRODUCT((Application!$B$726:$B$760 = 'CalHFA Addendum'!P$18)*(Application!$AC$726:$AC$760 = 'CalHFA Addendum'!$B20),Application!$G$726:$G$760)</f>
        <v>0</v>
      </c>
      <c r="Q20" s="2280"/>
      <c r="R20" s="2280"/>
      <c r="S20" s="2280"/>
      <c r="T20" s="2280"/>
      <c r="U20" s="2281"/>
      <c r="V20" s="2279" cm="1">
        <f t="array" ref="V20">SUMPRODUCT((Application!$B$726:$B$760 = 'CalHFA Addendum'!V$18)*(Application!$AC$726:$AC$760 = 'CalHFA Addendum'!$B20),Application!$G$726:$G$760)</f>
        <v>0</v>
      </c>
      <c r="W20" s="2280"/>
      <c r="X20" s="2280"/>
      <c r="Y20" s="2280"/>
      <c r="Z20" s="2280"/>
      <c r="AA20" s="2281"/>
      <c r="AB20" s="2279" cm="1">
        <f t="array" ref="AB20">SUMPRODUCT((Application!$B$726:$B$760 = 'CalHFA Addendum'!AB$18)*(Application!$AC$726:$AC$760 = 'CalHFA Addendum'!$B20),Application!$G$726:$G$760)</f>
        <v>0</v>
      </c>
      <c r="AC20" s="2280"/>
      <c r="AD20" s="2280"/>
      <c r="AE20" s="2280"/>
      <c r="AF20" s="2280"/>
      <c r="AG20" s="2281"/>
      <c r="AH20" s="2279" cm="1">
        <f t="array" ref="AH20">SUMPRODUCT((Application!$B$726:$B$760 = 'CalHFA Addendum'!AH$18)*(Application!$AC$726:$AC$760 = 'CalHFA Addendum'!$B20),Application!$G$726:$G$760)</f>
        <v>0</v>
      </c>
      <c r="AI20" s="2280"/>
      <c r="AJ20" s="2280"/>
      <c r="AK20" s="2280"/>
      <c r="AL20" s="2280"/>
      <c r="AM20" s="2281"/>
      <c r="AN20" s="2279" cm="1">
        <f t="array" ref="AN20">SUMPRODUCT((Application!$B$726:$B$760 = 'CalHFA Addendum'!AN$18)*(Application!$AC$726:$AC$760 = 'CalHFA Addendum'!$B20),Application!$G$726:$G$760)</f>
        <v>0</v>
      </c>
      <c r="AO20" s="2280"/>
      <c r="AP20" s="2280"/>
      <c r="AQ20" s="2280"/>
      <c r="AR20" s="2280"/>
      <c r="AS20" s="2281"/>
      <c r="AT20" s="2264">
        <f t="shared" ref="AT20:AT29" si="1">J20/$J$29</f>
        <v>0</v>
      </c>
      <c r="AU20" s="2265"/>
      <c r="AV20" s="2265"/>
      <c r="AW20" s="2265"/>
      <c r="AX20" s="2265"/>
      <c r="AY20" s="2266"/>
      <c r="AZ20" s="1208"/>
      <c r="BA20" s="1208"/>
      <c r="BB20" s="1208"/>
      <c r="BC20" s="1208"/>
      <c r="BD20" s="1208"/>
      <c r="BE20" s="1215"/>
    </row>
    <row r="21" spans="1:58" ht="15">
      <c r="A21" s="1208"/>
      <c r="B21" s="2276">
        <v>0.5</v>
      </c>
      <c r="C21" s="2277"/>
      <c r="D21" s="2277"/>
      <c r="E21" s="2277"/>
      <c r="F21" s="2277"/>
      <c r="G21" s="2277"/>
      <c r="H21" s="2277"/>
      <c r="I21" s="2278"/>
      <c r="J21" s="2279">
        <f t="shared" si="0"/>
        <v>0</v>
      </c>
      <c r="K21" s="2280"/>
      <c r="L21" s="2280"/>
      <c r="M21" s="2280"/>
      <c r="N21" s="2280"/>
      <c r="O21" s="2281"/>
      <c r="P21" s="2279" cm="1">
        <f t="array" ref="P21">SUMPRODUCT((Application!$B$726:$B$760 = 'CalHFA Addendum'!P$18)*(Application!$AC$726:$AC$760 = 'CalHFA Addendum'!$B21),Application!$G$726:$G$760)</f>
        <v>0</v>
      </c>
      <c r="Q21" s="2280"/>
      <c r="R21" s="2280"/>
      <c r="S21" s="2280"/>
      <c r="T21" s="2280"/>
      <c r="U21" s="2281"/>
      <c r="V21" s="2279" cm="1">
        <f t="array" ref="V21">SUMPRODUCT((Application!$B$726:$B$760 = 'CalHFA Addendum'!V$18)*(Application!$AC$726:$AC$760 = 'CalHFA Addendum'!$B21),Application!$G$726:$G$760)</f>
        <v>0</v>
      </c>
      <c r="W21" s="2280"/>
      <c r="X21" s="2280"/>
      <c r="Y21" s="2280"/>
      <c r="Z21" s="2280"/>
      <c r="AA21" s="2281"/>
      <c r="AB21" s="2279" cm="1">
        <f t="array" ref="AB21">SUMPRODUCT((Application!$B$726:$B$760 = 'CalHFA Addendum'!AB$18)*(Application!$AC$726:$AC$760 = 'CalHFA Addendum'!$B21),Application!$G$726:$G$760)</f>
        <v>0</v>
      </c>
      <c r="AC21" s="2280"/>
      <c r="AD21" s="2280"/>
      <c r="AE21" s="2280"/>
      <c r="AF21" s="2280"/>
      <c r="AG21" s="2281"/>
      <c r="AH21" s="2279" cm="1">
        <f t="array" ref="AH21">SUMPRODUCT((Application!$B$726:$B$760 = 'CalHFA Addendum'!AH$18)*(Application!$AC$726:$AC$760 = 'CalHFA Addendum'!$B21),Application!$G$726:$G$760)</f>
        <v>0</v>
      </c>
      <c r="AI21" s="2280"/>
      <c r="AJ21" s="2280"/>
      <c r="AK21" s="2280"/>
      <c r="AL21" s="2280"/>
      <c r="AM21" s="2281"/>
      <c r="AN21" s="2279" cm="1">
        <f t="array" ref="AN21">SUMPRODUCT((Application!$B$726:$B$760 = 'CalHFA Addendum'!AN$18)*(Application!$AC$726:$AC$760 = 'CalHFA Addendum'!$B21),Application!$G$726:$G$760)</f>
        <v>0</v>
      </c>
      <c r="AO21" s="2280"/>
      <c r="AP21" s="2280"/>
      <c r="AQ21" s="2280"/>
      <c r="AR21" s="2280"/>
      <c r="AS21" s="2281"/>
      <c r="AT21" s="2264">
        <f t="shared" si="1"/>
        <v>0</v>
      </c>
      <c r="AU21" s="2265"/>
      <c r="AV21" s="2265"/>
      <c r="AW21" s="2265"/>
      <c r="AX21" s="2265"/>
      <c r="AY21" s="2266"/>
      <c r="AZ21" s="1208"/>
      <c r="BA21" s="1208"/>
      <c r="BB21" s="1208"/>
      <c r="BC21" s="1208"/>
      <c r="BD21" s="1208"/>
      <c r="BE21" s="1215"/>
    </row>
    <row r="22" spans="1:58" ht="15">
      <c r="A22" s="1208"/>
      <c r="B22" s="2276">
        <v>0.6</v>
      </c>
      <c r="C22" s="2277"/>
      <c r="D22" s="2277"/>
      <c r="E22" s="2277"/>
      <c r="F22" s="2277"/>
      <c r="G22" s="2277"/>
      <c r="H22" s="2277"/>
      <c r="I22" s="2278"/>
      <c r="J22" s="2279">
        <f t="shared" si="0"/>
        <v>11</v>
      </c>
      <c r="K22" s="2280"/>
      <c r="L22" s="2280"/>
      <c r="M22" s="2280"/>
      <c r="N22" s="2280"/>
      <c r="O22" s="2281"/>
      <c r="P22" s="2279" cm="1">
        <f t="array" ref="P22">SUMPRODUCT((Application!$B$726:$B$760 = 'CalHFA Addendum'!P$18)*(Application!$AC$726:$AC$760 = 'CalHFA Addendum'!$B22),Application!$G$726:$G$760)</f>
        <v>0</v>
      </c>
      <c r="Q22" s="2280"/>
      <c r="R22" s="2280"/>
      <c r="S22" s="2280"/>
      <c r="T22" s="2280"/>
      <c r="U22" s="2281"/>
      <c r="V22" s="2279" cm="1">
        <f t="array" ref="V22">SUMPRODUCT((Application!$B$726:$B$760 = 'CalHFA Addendum'!V$18)*(Application!$AC$726:$AC$760 = 'CalHFA Addendum'!$B22),Application!$G$726:$G$760)</f>
        <v>7</v>
      </c>
      <c r="W22" s="2280"/>
      <c r="X22" s="2280"/>
      <c r="Y22" s="2280"/>
      <c r="Z22" s="2280"/>
      <c r="AA22" s="2281"/>
      <c r="AB22" s="2279" cm="1">
        <f t="array" ref="AB22">SUMPRODUCT((Application!$B$726:$B$760 = 'CalHFA Addendum'!AB$18)*(Application!$AC$726:$AC$760 = 'CalHFA Addendum'!$B22),Application!$G$726:$G$760)</f>
        <v>0</v>
      </c>
      <c r="AC22" s="2280"/>
      <c r="AD22" s="2280"/>
      <c r="AE22" s="2280"/>
      <c r="AF22" s="2280"/>
      <c r="AG22" s="2281"/>
      <c r="AH22" s="2279" cm="1">
        <f t="array" ref="AH22">SUMPRODUCT((Application!$B$726:$B$760 = 'CalHFA Addendum'!AH$18)*(Application!$AC$726:$AC$760 = 'CalHFA Addendum'!$B22),Application!$G$726:$G$760)</f>
        <v>4</v>
      </c>
      <c r="AI22" s="2280"/>
      <c r="AJ22" s="2280"/>
      <c r="AK22" s="2280"/>
      <c r="AL22" s="2280"/>
      <c r="AM22" s="2281"/>
      <c r="AN22" s="2279" cm="1">
        <f t="array" ref="AN22">SUMPRODUCT((Application!$B$726:$B$760 = 'CalHFA Addendum'!AN$18)*(Application!$AC$726:$AC$760 = 'CalHFA Addendum'!$B22),Application!$G$726:$G$760)</f>
        <v>0</v>
      </c>
      <c r="AO22" s="2280"/>
      <c r="AP22" s="2280"/>
      <c r="AQ22" s="2280"/>
      <c r="AR22" s="2280"/>
      <c r="AS22" s="2281"/>
      <c r="AT22" s="2264">
        <f t="shared" si="1"/>
        <v>7.4829931972789115E-2</v>
      </c>
      <c r="AU22" s="2265"/>
      <c r="AV22" s="2265"/>
      <c r="AW22" s="2265"/>
      <c r="AX22" s="2265"/>
      <c r="AY22" s="2266"/>
      <c r="AZ22" s="1208"/>
      <c r="BA22" s="1208"/>
      <c r="BB22" s="1208"/>
      <c r="BC22" s="1208"/>
      <c r="BD22" s="1208"/>
      <c r="BE22" s="1215"/>
    </row>
    <row r="23" spans="1:58" ht="15">
      <c r="A23" s="1208"/>
      <c r="B23" s="2276">
        <v>0.7</v>
      </c>
      <c r="C23" s="2277"/>
      <c r="D23" s="2277"/>
      <c r="E23" s="2277"/>
      <c r="F23" s="2277"/>
      <c r="G23" s="2277"/>
      <c r="H23" s="2277"/>
      <c r="I23" s="2278"/>
      <c r="J23" s="2279">
        <f t="shared" si="0"/>
        <v>100</v>
      </c>
      <c r="K23" s="2280"/>
      <c r="L23" s="2280"/>
      <c r="M23" s="2280"/>
      <c r="N23" s="2280"/>
      <c r="O23" s="2281"/>
      <c r="P23" s="2279" cm="1">
        <f t="array" ref="P23">SUMPRODUCT((Application!$B$726:$B$760 = 'CalHFA Addendum'!P$18)*(Application!$AC$726:$AC$760 = 'CalHFA Addendum'!$B23),Application!$G$726:$G$760)</f>
        <v>0</v>
      </c>
      <c r="Q23" s="2280"/>
      <c r="R23" s="2280"/>
      <c r="S23" s="2280"/>
      <c r="T23" s="2280"/>
      <c r="U23" s="2281"/>
      <c r="V23" s="2279" cm="1">
        <f t="array" ref="V23">SUMPRODUCT((Application!$B$726:$B$760 = 'CalHFA Addendum'!V$18)*(Application!$AC$726:$AC$760 = 'CalHFA Addendum'!$B23),Application!$G$726:$G$760)</f>
        <v>48</v>
      </c>
      <c r="W23" s="2280"/>
      <c r="X23" s="2280"/>
      <c r="Y23" s="2280"/>
      <c r="Z23" s="2280"/>
      <c r="AA23" s="2281"/>
      <c r="AB23" s="2279" cm="1">
        <f t="array" ref="AB23">SUMPRODUCT((Application!$B$726:$B$760 = 'CalHFA Addendum'!AB$18)*(Application!$AC$726:$AC$760 = 'CalHFA Addendum'!$B23),Application!$G$726:$G$760)</f>
        <v>39</v>
      </c>
      <c r="AC23" s="2280"/>
      <c r="AD23" s="2280"/>
      <c r="AE23" s="2280"/>
      <c r="AF23" s="2280"/>
      <c r="AG23" s="2281"/>
      <c r="AH23" s="2279" cm="1">
        <f t="array" ref="AH23">SUMPRODUCT((Application!$B$726:$B$760 = 'CalHFA Addendum'!AH$18)*(Application!$AC$726:$AC$760 = 'CalHFA Addendum'!$B23),Application!$G$726:$G$760)</f>
        <v>13</v>
      </c>
      <c r="AI23" s="2280"/>
      <c r="AJ23" s="2280"/>
      <c r="AK23" s="2280"/>
      <c r="AL23" s="2280"/>
      <c r="AM23" s="2281"/>
      <c r="AN23" s="2279" cm="1">
        <f t="array" ref="AN23">SUMPRODUCT((Application!$B$726:$B$760 = 'CalHFA Addendum'!AN$18)*(Application!$AC$726:$AC$760 = 'CalHFA Addendum'!$B23),Application!$G$726:$G$760)</f>
        <v>0</v>
      </c>
      <c r="AO23" s="2280"/>
      <c r="AP23" s="2280"/>
      <c r="AQ23" s="2280"/>
      <c r="AR23" s="2280"/>
      <c r="AS23" s="2281"/>
      <c r="AT23" s="2264">
        <f t="shared" si="1"/>
        <v>0.68027210884353739</v>
      </c>
      <c r="AU23" s="2265"/>
      <c r="AV23" s="2265"/>
      <c r="AW23" s="2265"/>
      <c r="AX23" s="2265"/>
      <c r="AY23" s="2266"/>
      <c r="AZ23" s="1208"/>
      <c r="BA23" s="1208"/>
      <c r="BB23" s="1208"/>
      <c r="BC23" s="1208"/>
      <c r="BD23" s="1208"/>
      <c r="BE23" s="1215"/>
    </row>
    <row r="24" spans="1:58" ht="15">
      <c r="A24" s="1208"/>
      <c r="B24" s="2276">
        <v>0.8</v>
      </c>
      <c r="C24" s="2277"/>
      <c r="D24" s="2277"/>
      <c r="E24" s="2277"/>
      <c r="F24" s="2277"/>
      <c r="G24" s="2277"/>
      <c r="H24" s="2277"/>
      <c r="I24" s="2278"/>
      <c r="J24" s="2279">
        <f t="shared" si="0"/>
        <v>0</v>
      </c>
      <c r="K24" s="2280"/>
      <c r="L24" s="2280"/>
      <c r="M24" s="2280"/>
      <c r="N24" s="2280"/>
      <c r="O24" s="2281"/>
      <c r="P24" s="2279" cm="1">
        <f t="array" ref="P24">SUMPRODUCT((Application!$B$726:$B$760 = 'CalHFA Addendum'!P$18)*(Application!$AC$726:$AC$760 = 'CalHFA Addendum'!$B24),Application!$G$726:$G$760)</f>
        <v>0</v>
      </c>
      <c r="Q24" s="2280"/>
      <c r="R24" s="2280"/>
      <c r="S24" s="2280"/>
      <c r="T24" s="2280"/>
      <c r="U24" s="2281"/>
      <c r="V24" s="2279" cm="1">
        <f t="array" ref="V24">SUMPRODUCT((Application!$B$726:$B$760 = 'CalHFA Addendum'!V$18)*(Application!$AC$726:$AC$760 = 'CalHFA Addendum'!$B24),Application!$G$726:$G$760)</f>
        <v>0</v>
      </c>
      <c r="W24" s="2280"/>
      <c r="X24" s="2280"/>
      <c r="Y24" s="2280"/>
      <c r="Z24" s="2280"/>
      <c r="AA24" s="2281"/>
      <c r="AB24" s="2279" cm="1">
        <f t="array" ref="AB24">SUMPRODUCT((Application!$B$726:$B$760 = 'CalHFA Addendum'!AB$18)*(Application!$AC$726:$AC$760 = 'CalHFA Addendum'!$B24),Application!$G$726:$G$760)</f>
        <v>0</v>
      </c>
      <c r="AC24" s="2280"/>
      <c r="AD24" s="2280"/>
      <c r="AE24" s="2280"/>
      <c r="AF24" s="2280"/>
      <c r="AG24" s="2281"/>
      <c r="AH24" s="2279" cm="1">
        <f t="array" ref="AH24">SUMPRODUCT((Application!$B$726:$B$760 = 'CalHFA Addendum'!AH$18)*(Application!$AC$726:$AC$760 = 'CalHFA Addendum'!$B24),Application!$G$726:$G$760)</f>
        <v>0</v>
      </c>
      <c r="AI24" s="2280"/>
      <c r="AJ24" s="2280"/>
      <c r="AK24" s="2280"/>
      <c r="AL24" s="2280"/>
      <c r="AM24" s="2281"/>
      <c r="AN24" s="2279" cm="1">
        <f t="array" ref="AN24">SUMPRODUCT((Application!$B$726:$B$760 = 'CalHFA Addendum'!AN$18)*(Application!$AC$726:$AC$760 = 'CalHFA Addendum'!$B24),Application!$G$726:$G$760)</f>
        <v>0</v>
      </c>
      <c r="AO24" s="2280"/>
      <c r="AP24" s="2280"/>
      <c r="AQ24" s="2280"/>
      <c r="AR24" s="2280"/>
      <c r="AS24" s="2281"/>
      <c r="AT24" s="2264">
        <f t="shared" si="1"/>
        <v>0</v>
      </c>
      <c r="AU24" s="2265"/>
      <c r="AV24" s="2265"/>
      <c r="AW24" s="2265"/>
      <c r="AX24" s="2265"/>
      <c r="AY24" s="2266"/>
      <c r="AZ24" s="1208"/>
      <c r="BA24" s="1208"/>
      <c r="BB24" s="1208"/>
      <c r="BC24" s="1208"/>
      <c r="BD24" s="1208"/>
      <c r="BE24" s="1215"/>
    </row>
    <row r="25" spans="1:58" ht="15">
      <c r="A25" s="1208"/>
      <c r="B25" s="2276">
        <v>0.9</v>
      </c>
      <c r="C25" s="2277"/>
      <c r="D25" s="2277"/>
      <c r="E25" s="2277"/>
      <c r="F25" s="2277"/>
      <c r="G25" s="2277"/>
      <c r="H25" s="2277"/>
      <c r="I25" s="2278"/>
      <c r="J25" s="2261"/>
      <c r="K25" s="2262"/>
      <c r="L25" s="2262"/>
      <c r="M25" s="2262"/>
      <c r="N25" s="2262"/>
      <c r="O25" s="2263"/>
      <c r="P25" s="2261"/>
      <c r="Q25" s="2262"/>
      <c r="R25" s="2262"/>
      <c r="S25" s="2262"/>
      <c r="T25" s="2262"/>
      <c r="U25" s="2263"/>
      <c r="V25" s="2261"/>
      <c r="W25" s="2262"/>
      <c r="X25" s="2262"/>
      <c r="Y25" s="2262"/>
      <c r="Z25" s="2262"/>
      <c r="AA25" s="2263"/>
      <c r="AB25" s="2261"/>
      <c r="AC25" s="2262"/>
      <c r="AD25" s="2262"/>
      <c r="AE25" s="2262"/>
      <c r="AF25" s="2262"/>
      <c r="AG25" s="2263"/>
      <c r="AH25" s="2261"/>
      <c r="AI25" s="2262"/>
      <c r="AJ25" s="2262"/>
      <c r="AK25" s="2262"/>
      <c r="AL25" s="2262"/>
      <c r="AM25" s="2263"/>
      <c r="AN25" s="2261"/>
      <c r="AO25" s="2262"/>
      <c r="AP25" s="2262"/>
      <c r="AQ25" s="2262"/>
      <c r="AR25" s="2262"/>
      <c r="AS25" s="2263"/>
      <c r="AT25" s="2264">
        <f t="shared" si="1"/>
        <v>0</v>
      </c>
      <c r="AU25" s="2265"/>
      <c r="AV25" s="2265"/>
      <c r="AW25" s="2265"/>
      <c r="AX25" s="2265"/>
      <c r="AY25" s="2266"/>
      <c r="AZ25" s="1208"/>
      <c r="BA25" s="1208"/>
      <c r="BB25" s="1208"/>
      <c r="BC25" s="1208"/>
      <c r="BD25" s="1208"/>
      <c r="BE25" s="1215"/>
    </row>
    <row r="26" spans="1:58" ht="15">
      <c r="A26" s="1208"/>
      <c r="B26" s="2276">
        <v>1</v>
      </c>
      <c r="C26" s="2277"/>
      <c r="D26" s="2277"/>
      <c r="E26" s="2277"/>
      <c r="F26" s="2277"/>
      <c r="G26" s="2277"/>
      <c r="H26" s="2277"/>
      <c r="I26" s="2278"/>
      <c r="J26" s="2261"/>
      <c r="K26" s="2262"/>
      <c r="L26" s="2262"/>
      <c r="M26" s="2262"/>
      <c r="N26" s="2262"/>
      <c r="O26" s="2263"/>
      <c r="P26" s="2261"/>
      <c r="Q26" s="2262"/>
      <c r="R26" s="2262"/>
      <c r="S26" s="2262"/>
      <c r="T26" s="2262"/>
      <c r="U26" s="2263"/>
      <c r="V26" s="2261"/>
      <c r="W26" s="2262"/>
      <c r="X26" s="2262"/>
      <c r="Y26" s="2262"/>
      <c r="Z26" s="2262"/>
      <c r="AA26" s="2263"/>
      <c r="AB26" s="2261"/>
      <c r="AC26" s="2262"/>
      <c r="AD26" s="2262"/>
      <c r="AE26" s="2262"/>
      <c r="AF26" s="2262"/>
      <c r="AG26" s="2263"/>
      <c r="AH26" s="2261"/>
      <c r="AI26" s="2262"/>
      <c r="AJ26" s="2262"/>
      <c r="AK26" s="2262"/>
      <c r="AL26" s="2262"/>
      <c r="AM26" s="2263"/>
      <c r="AN26" s="2261"/>
      <c r="AO26" s="2262"/>
      <c r="AP26" s="2262"/>
      <c r="AQ26" s="2262"/>
      <c r="AR26" s="2262"/>
      <c r="AS26" s="2263"/>
      <c r="AT26" s="2264">
        <f t="shared" si="1"/>
        <v>0</v>
      </c>
      <c r="AU26" s="2265"/>
      <c r="AV26" s="2265"/>
      <c r="AW26" s="2265"/>
      <c r="AX26" s="2265"/>
      <c r="AY26" s="2266"/>
      <c r="AZ26" s="1208"/>
      <c r="BA26" s="1208"/>
      <c r="BB26" s="1208"/>
      <c r="BC26" s="1208"/>
      <c r="BD26" s="1208"/>
      <c r="BE26" s="1215"/>
    </row>
    <row r="27" spans="1:58" ht="15">
      <c r="A27" s="1208"/>
      <c r="B27" s="2276">
        <v>1.2</v>
      </c>
      <c r="C27" s="2277"/>
      <c r="D27" s="2277"/>
      <c r="E27" s="2277"/>
      <c r="F27" s="2277"/>
      <c r="G27" s="2277"/>
      <c r="H27" s="2277"/>
      <c r="I27" s="2278"/>
      <c r="J27" s="2261"/>
      <c r="K27" s="2262"/>
      <c r="L27" s="2262"/>
      <c r="M27" s="2262"/>
      <c r="N27" s="2262"/>
      <c r="O27" s="2263"/>
      <c r="P27" s="2261"/>
      <c r="Q27" s="2262"/>
      <c r="R27" s="2262"/>
      <c r="S27" s="2262"/>
      <c r="T27" s="2262"/>
      <c r="U27" s="2263"/>
      <c r="V27" s="2261"/>
      <c r="W27" s="2262"/>
      <c r="X27" s="2262"/>
      <c r="Y27" s="2262"/>
      <c r="Z27" s="2262"/>
      <c r="AA27" s="2263"/>
      <c r="AB27" s="2261"/>
      <c r="AC27" s="2262"/>
      <c r="AD27" s="2262"/>
      <c r="AE27" s="2262"/>
      <c r="AF27" s="2262"/>
      <c r="AG27" s="2263"/>
      <c r="AH27" s="2261"/>
      <c r="AI27" s="2262"/>
      <c r="AJ27" s="2262"/>
      <c r="AK27" s="2262"/>
      <c r="AL27" s="2262"/>
      <c r="AM27" s="2263"/>
      <c r="AN27" s="2261"/>
      <c r="AO27" s="2262"/>
      <c r="AP27" s="2262"/>
      <c r="AQ27" s="2262"/>
      <c r="AR27" s="2262"/>
      <c r="AS27" s="2263"/>
      <c r="AT27" s="2264">
        <f t="shared" si="1"/>
        <v>0</v>
      </c>
      <c r="AU27" s="2265"/>
      <c r="AV27" s="2265"/>
      <c r="AW27" s="2265"/>
      <c r="AX27" s="2265"/>
      <c r="AY27" s="2266"/>
      <c r="AZ27" s="1208"/>
      <c r="BA27" s="1208"/>
      <c r="BB27" s="1208"/>
      <c r="BC27" s="1208"/>
      <c r="BD27" s="1208"/>
      <c r="BE27" s="1215"/>
    </row>
    <row r="28" spans="1:58" thickBot="1">
      <c r="A28" s="1208"/>
      <c r="B28" s="2267" t="s">
        <v>2365</v>
      </c>
      <c r="C28" s="2268"/>
      <c r="D28" s="2268"/>
      <c r="E28" s="2268"/>
      <c r="F28" s="2268"/>
      <c r="G28" s="2268"/>
      <c r="H28" s="2268"/>
      <c r="I28" s="2269"/>
      <c r="J28" s="2270">
        <f>SUM(P28:AS28)</f>
        <v>1</v>
      </c>
      <c r="K28" s="2271"/>
      <c r="L28" s="2271"/>
      <c r="M28" s="2271"/>
      <c r="N28" s="2271"/>
      <c r="O28" s="2272"/>
      <c r="P28" s="2270">
        <f>_xlfn.IFNA(VLOOKUP(P$18,Application!$J$781:$S$784,6,FALSE), 0)</f>
        <v>0</v>
      </c>
      <c r="Q28" s="2271"/>
      <c r="R28" s="2271"/>
      <c r="S28" s="2271"/>
      <c r="T28" s="2271"/>
      <c r="U28" s="2272"/>
      <c r="V28" s="2270">
        <f>_xlfn.IFNA(VLOOKUP(V$18,Application!$J$781:$S$784,6,FALSE), 0)</f>
        <v>1</v>
      </c>
      <c r="W28" s="2271"/>
      <c r="X28" s="2271"/>
      <c r="Y28" s="2271"/>
      <c r="Z28" s="2271"/>
      <c r="AA28" s="2272"/>
      <c r="AB28" s="2270">
        <f>_xlfn.IFNA(VLOOKUP(AB$18,Application!$J$781:$S$784,6,FALSE), 0)</f>
        <v>0</v>
      </c>
      <c r="AC28" s="2271"/>
      <c r="AD28" s="2271"/>
      <c r="AE28" s="2271"/>
      <c r="AF28" s="2271"/>
      <c r="AG28" s="2272"/>
      <c r="AH28" s="2270">
        <f>_xlfn.IFNA(VLOOKUP(AH$18,Application!$J$781:$S$784,6,FALSE), 0)</f>
        <v>0</v>
      </c>
      <c r="AI28" s="2271"/>
      <c r="AJ28" s="2271"/>
      <c r="AK28" s="2271"/>
      <c r="AL28" s="2271"/>
      <c r="AM28" s="2272"/>
      <c r="AN28" s="2270">
        <f>_xlfn.IFNA(VLOOKUP(AN$18,Application!$J$781:$S$784,6,FALSE), 0)</f>
        <v>0</v>
      </c>
      <c r="AO28" s="2271"/>
      <c r="AP28" s="2271"/>
      <c r="AQ28" s="2271"/>
      <c r="AR28" s="2271"/>
      <c r="AS28" s="2272"/>
      <c r="AT28" s="2273">
        <f t="shared" si="1"/>
        <v>6.8027210884353739E-3</v>
      </c>
      <c r="AU28" s="2274"/>
      <c r="AV28" s="2274"/>
      <c r="AW28" s="2274"/>
      <c r="AX28" s="2274"/>
      <c r="AY28" s="2275"/>
      <c r="AZ28" s="1208"/>
      <c r="BA28" s="1208"/>
      <c r="BB28" s="1208"/>
      <c r="BC28" s="1208"/>
      <c r="BD28" s="1208"/>
      <c r="BE28" s="1215"/>
    </row>
    <row r="29" spans="1:58" thickBot="1">
      <c r="A29" s="1208"/>
      <c r="B29" s="2250" t="s">
        <v>1574</v>
      </c>
      <c r="C29" s="2223"/>
      <c r="D29" s="2223"/>
      <c r="E29" s="2223"/>
      <c r="F29" s="2223"/>
      <c r="G29" s="2223"/>
      <c r="H29" s="2223"/>
      <c r="I29" s="2224"/>
      <c r="J29" s="2222">
        <f>SUM(J19:O28)</f>
        <v>147</v>
      </c>
      <c r="K29" s="2223"/>
      <c r="L29" s="2223"/>
      <c r="M29" s="2223"/>
      <c r="N29" s="2223"/>
      <c r="O29" s="2224"/>
      <c r="P29" s="2222">
        <f>SUM(P19:U28)</f>
        <v>0</v>
      </c>
      <c r="Q29" s="2223"/>
      <c r="R29" s="2223"/>
      <c r="S29" s="2223"/>
      <c r="T29" s="2223"/>
      <c r="U29" s="2224"/>
      <c r="V29" s="2222">
        <f>SUM(V19:AA28)</f>
        <v>73</v>
      </c>
      <c r="W29" s="2223"/>
      <c r="X29" s="2223"/>
      <c r="Y29" s="2223"/>
      <c r="Z29" s="2223"/>
      <c r="AA29" s="2224"/>
      <c r="AB29" s="2222">
        <f>SUM(AB19:AG28)</f>
        <v>51</v>
      </c>
      <c r="AC29" s="2223"/>
      <c r="AD29" s="2223"/>
      <c r="AE29" s="2223"/>
      <c r="AF29" s="2223"/>
      <c r="AG29" s="2224"/>
      <c r="AH29" s="2222">
        <f>SUM(AH19:AM28)</f>
        <v>23</v>
      </c>
      <c r="AI29" s="2223"/>
      <c r="AJ29" s="2223"/>
      <c r="AK29" s="2223"/>
      <c r="AL29" s="2223"/>
      <c r="AM29" s="2224"/>
      <c r="AN29" s="2222">
        <f>SUM(AN19:AS28)</f>
        <v>0</v>
      </c>
      <c r="AO29" s="2223"/>
      <c r="AP29" s="2223"/>
      <c r="AQ29" s="2223"/>
      <c r="AR29" s="2223"/>
      <c r="AS29" s="2224"/>
      <c r="AT29" s="2225">
        <f t="shared" si="1"/>
        <v>1</v>
      </c>
      <c r="AU29" s="2226"/>
      <c r="AV29" s="2226"/>
      <c r="AW29" s="2226"/>
      <c r="AX29" s="2226"/>
      <c r="AY29" s="2227"/>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8" t="s">
        <v>2364</v>
      </c>
      <c r="C31" s="2229"/>
      <c r="D31" s="2229"/>
      <c r="E31" s="2229"/>
      <c r="F31" s="2229"/>
      <c r="G31" s="2229"/>
      <c r="H31" s="2229"/>
      <c r="I31" s="2229"/>
      <c r="J31" s="2229"/>
      <c r="K31" s="2229"/>
      <c r="L31" s="2229"/>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229"/>
      <c r="BB31" s="2229"/>
      <c r="BC31" s="2229"/>
      <c r="BD31" s="2230"/>
      <c r="BE31" s="1215"/>
    </row>
    <row r="32" spans="1:58" thickBot="1">
      <c r="A32" s="1208"/>
      <c r="B32" s="2231" t="s">
        <v>2363</v>
      </c>
      <c r="C32" s="2232"/>
      <c r="D32" s="2232"/>
      <c r="E32" s="2232"/>
      <c r="F32" s="2232"/>
      <c r="G32" s="2232"/>
      <c r="H32" s="2232"/>
      <c r="I32" s="2232"/>
      <c r="J32" s="2235" t="s">
        <v>2362</v>
      </c>
      <c r="K32" s="2236"/>
      <c r="L32" s="2236"/>
      <c r="M32" s="2236"/>
      <c r="N32" s="2235" t="s">
        <v>2361</v>
      </c>
      <c r="O32" s="2236"/>
      <c r="P32" s="2236"/>
      <c r="Q32" s="2238"/>
      <c r="R32" s="2240" t="s">
        <v>2360</v>
      </c>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241"/>
      <c r="BB32" s="2241"/>
      <c r="BC32" s="2241"/>
      <c r="BD32" s="2242"/>
      <c r="BE32" s="1215"/>
    </row>
    <row r="33" spans="1:58" ht="15" customHeight="1">
      <c r="A33" s="1208"/>
      <c r="B33" s="2233"/>
      <c r="C33" s="2234"/>
      <c r="D33" s="2234"/>
      <c r="E33" s="2234"/>
      <c r="F33" s="2234"/>
      <c r="G33" s="2234"/>
      <c r="H33" s="2234"/>
      <c r="I33" s="2234"/>
      <c r="J33" s="2237"/>
      <c r="K33" s="2237"/>
      <c r="L33" s="2237"/>
      <c r="M33" s="2237"/>
      <c r="N33" s="2237"/>
      <c r="O33" s="2237"/>
      <c r="P33" s="2237"/>
      <c r="Q33" s="2239"/>
      <c r="R33" s="2243" t="s">
        <v>2359</v>
      </c>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244"/>
      <c r="BB33" s="2244"/>
      <c r="BC33" s="2244"/>
      <c r="BD33" s="2245"/>
      <c r="BE33" s="1215"/>
    </row>
    <row r="34" spans="1:58" ht="15.75" customHeight="1" thickBot="1">
      <c r="A34" s="1208"/>
      <c r="B34" s="2233"/>
      <c r="C34" s="2234"/>
      <c r="D34" s="2234"/>
      <c r="E34" s="2234"/>
      <c r="F34" s="2234"/>
      <c r="G34" s="2234"/>
      <c r="H34" s="2234"/>
      <c r="I34" s="2234"/>
      <c r="J34" s="2237"/>
      <c r="K34" s="2237"/>
      <c r="L34" s="2237"/>
      <c r="M34" s="2237"/>
      <c r="N34" s="2237"/>
      <c r="O34" s="2237"/>
      <c r="P34" s="2237"/>
      <c r="Q34" s="2239"/>
      <c r="R34" s="2246"/>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c r="AS34" s="2247"/>
      <c r="AT34" s="2247"/>
      <c r="AU34" s="2247"/>
      <c r="AV34" s="2247"/>
      <c r="AW34" s="2247"/>
      <c r="AX34" s="2247"/>
      <c r="AY34" s="2247"/>
      <c r="AZ34" s="2247"/>
      <c r="BA34" s="2247"/>
      <c r="BB34" s="2247"/>
      <c r="BC34" s="2247"/>
      <c r="BD34" s="2248"/>
      <c r="BE34" s="1215"/>
    </row>
    <row r="35" spans="1:58" ht="15.75" customHeight="1">
      <c r="A35" s="1208"/>
      <c r="B35" s="2233"/>
      <c r="C35" s="2234"/>
      <c r="D35" s="2234"/>
      <c r="E35" s="2234"/>
      <c r="F35" s="2234"/>
      <c r="G35" s="2234"/>
      <c r="H35" s="2234"/>
      <c r="I35" s="2234"/>
      <c r="J35" s="2237"/>
      <c r="K35" s="2237"/>
      <c r="L35" s="2237"/>
      <c r="M35" s="2237"/>
      <c r="N35" s="2237"/>
      <c r="O35" s="2237"/>
      <c r="P35" s="2237"/>
      <c r="Q35" s="2237"/>
      <c r="R35" s="2249">
        <v>0.3</v>
      </c>
      <c r="S35" s="2249"/>
      <c r="T35" s="2249"/>
      <c r="U35" s="2249"/>
      <c r="V35" s="2249">
        <v>0.4</v>
      </c>
      <c r="W35" s="2249"/>
      <c r="X35" s="2249"/>
      <c r="Y35" s="2249"/>
      <c r="Z35" s="2249">
        <v>0.5</v>
      </c>
      <c r="AA35" s="2249"/>
      <c r="AB35" s="2249"/>
      <c r="AC35" s="2249"/>
      <c r="AD35" s="2249">
        <v>0.6</v>
      </c>
      <c r="AE35" s="2249"/>
      <c r="AF35" s="2249"/>
      <c r="AG35" s="2249"/>
      <c r="AH35" s="2249">
        <v>0.7</v>
      </c>
      <c r="AI35" s="2249"/>
      <c r="AJ35" s="2249"/>
      <c r="AK35" s="2249"/>
      <c r="AL35" s="2254">
        <v>0.8</v>
      </c>
      <c r="AM35" s="2255"/>
      <c r="AN35" s="2255"/>
      <c r="AO35" s="2256"/>
      <c r="AP35" s="2257">
        <v>1.2</v>
      </c>
      <c r="AQ35" s="2258"/>
      <c r="AR35" s="2259"/>
      <c r="AS35" s="2251" t="s">
        <v>2358</v>
      </c>
      <c r="AT35" s="2252"/>
      <c r="AU35" s="2252"/>
      <c r="AV35" s="2252"/>
      <c r="AW35" s="2252"/>
      <c r="AX35" s="2260"/>
      <c r="AY35" s="2251" t="s">
        <v>2357</v>
      </c>
      <c r="AZ35" s="2252"/>
      <c r="BA35" s="2252"/>
      <c r="BB35" s="2252"/>
      <c r="BC35" s="2252"/>
      <c r="BD35" s="2253"/>
      <c r="BE35" s="1215"/>
    </row>
    <row r="36" spans="1:58" ht="15.75" customHeight="1">
      <c r="A36" s="1208"/>
      <c r="B36" s="2155" t="s">
        <v>2356</v>
      </c>
      <c r="C36" s="2156"/>
      <c r="D36" s="2156"/>
      <c r="E36" s="2156"/>
      <c r="F36" s="2156"/>
      <c r="G36" s="2156"/>
      <c r="H36" s="2156"/>
      <c r="I36" s="2156"/>
      <c r="J36" s="2220" t="s">
        <v>2355</v>
      </c>
      <c r="K36" s="2220"/>
      <c r="L36" s="2220"/>
      <c r="M36" s="2220"/>
      <c r="N36" s="2220">
        <v>55</v>
      </c>
      <c r="O36" s="2220"/>
      <c r="P36" s="2220"/>
      <c r="Q36" s="2220"/>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05"/>
      <c r="AM36" s="2206"/>
      <c r="AN36" s="2206"/>
      <c r="AO36" s="2207"/>
      <c r="AP36" s="2205"/>
      <c r="AQ36" s="2206"/>
      <c r="AR36" s="2207"/>
      <c r="AS36" s="2208">
        <f t="shared" ref="AS36:AS47" si="2">SUM(R36:AR36)</f>
        <v>0</v>
      </c>
      <c r="AT36" s="2209"/>
      <c r="AU36" s="2209"/>
      <c r="AV36" s="2209"/>
      <c r="AW36" s="2209"/>
      <c r="AX36" s="2210"/>
      <c r="AY36" s="2211">
        <f t="shared" ref="AY36:AY47" si="3">AS36/$J$29</f>
        <v>0</v>
      </c>
      <c r="AZ36" s="2212"/>
      <c r="BA36" s="2212"/>
      <c r="BB36" s="2212"/>
      <c r="BC36" s="2212"/>
      <c r="BD36" s="2213"/>
      <c r="BE36" s="1215"/>
    </row>
    <row r="37" spans="1:58" ht="15.75" customHeight="1">
      <c r="A37" s="1208"/>
      <c r="B37" s="2155" t="s">
        <v>2354</v>
      </c>
      <c r="C37" s="2156"/>
      <c r="D37" s="2156"/>
      <c r="E37" s="2156"/>
      <c r="F37" s="2156"/>
      <c r="G37" s="2156"/>
      <c r="H37" s="2156"/>
      <c r="I37" s="2156"/>
      <c r="J37" s="2220" t="s">
        <v>2353</v>
      </c>
      <c r="K37" s="2220"/>
      <c r="L37" s="2220"/>
      <c r="M37" s="2220"/>
      <c r="N37" s="2220">
        <v>55</v>
      </c>
      <c r="O37" s="2220"/>
      <c r="P37" s="2220"/>
      <c r="Q37" s="2220"/>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05"/>
      <c r="AM37" s="2206"/>
      <c r="AN37" s="2206"/>
      <c r="AO37" s="2207"/>
      <c r="AP37" s="2205"/>
      <c r="AQ37" s="2206"/>
      <c r="AR37" s="2207"/>
      <c r="AS37" s="2208">
        <f t="shared" si="2"/>
        <v>0</v>
      </c>
      <c r="AT37" s="2209"/>
      <c r="AU37" s="2209"/>
      <c r="AV37" s="2209"/>
      <c r="AW37" s="2209"/>
      <c r="AX37" s="2210"/>
      <c r="AY37" s="2211">
        <f t="shared" si="3"/>
        <v>0</v>
      </c>
      <c r="AZ37" s="2212"/>
      <c r="BA37" s="2212"/>
      <c r="BB37" s="2212"/>
      <c r="BC37" s="2212"/>
      <c r="BD37" s="2213"/>
      <c r="BE37" s="1215"/>
    </row>
    <row r="38" spans="1:58" ht="15.75" customHeight="1">
      <c r="A38" s="1208"/>
      <c r="B38" s="2155" t="s">
        <v>2352</v>
      </c>
      <c r="C38" s="2156"/>
      <c r="D38" s="2156"/>
      <c r="E38" s="2156"/>
      <c r="F38" s="2156"/>
      <c r="G38" s="2156"/>
      <c r="H38" s="2156"/>
      <c r="I38" s="2156"/>
      <c r="J38" s="2220" t="s">
        <v>2351</v>
      </c>
      <c r="K38" s="2220"/>
      <c r="L38" s="2220"/>
      <c r="M38" s="2220"/>
      <c r="N38" s="2220">
        <v>55</v>
      </c>
      <c r="O38" s="2220"/>
      <c r="P38" s="2220"/>
      <c r="Q38" s="2220"/>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05"/>
      <c r="AM38" s="2206"/>
      <c r="AN38" s="2206"/>
      <c r="AO38" s="2207"/>
      <c r="AP38" s="2205"/>
      <c r="AQ38" s="2206"/>
      <c r="AR38" s="2207"/>
      <c r="AS38" s="2208">
        <f t="shared" si="2"/>
        <v>0</v>
      </c>
      <c r="AT38" s="2209"/>
      <c r="AU38" s="2209"/>
      <c r="AV38" s="2209"/>
      <c r="AW38" s="2209"/>
      <c r="AX38" s="2210"/>
      <c r="AY38" s="2211">
        <f t="shared" si="3"/>
        <v>0</v>
      </c>
      <c r="AZ38" s="2212"/>
      <c r="BA38" s="2212"/>
      <c r="BB38" s="2212"/>
      <c r="BC38" s="2212"/>
      <c r="BD38" s="2213"/>
      <c r="BE38" s="1215"/>
    </row>
    <row r="39" spans="1:58" ht="15.75" customHeight="1">
      <c r="A39" s="1208"/>
      <c r="B39" s="2155" t="s">
        <v>2350</v>
      </c>
      <c r="C39" s="2156"/>
      <c r="D39" s="2156"/>
      <c r="E39" s="2156"/>
      <c r="F39" s="2156"/>
      <c r="G39" s="2156"/>
      <c r="H39" s="2156"/>
      <c r="I39" s="2156"/>
      <c r="J39" s="2220"/>
      <c r="K39" s="2220"/>
      <c r="L39" s="2220"/>
      <c r="M39" s="2220"/>
      <c r="N39" s="2220"/>
      <c r="O39" s="2220"/>
      <c r="P39" s="2220"/>
      <c r="Q39" s="2220"/>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05"/>
      <c r="AM39" s="2206"/>
      <c r="AN39" s="2206"/>
      <c r="AO39" s="2207"/>
      <c r="AP39" s="2205"/>
      <c r="AQ39" s="2206"/>
      <c r="AR39" s="2207"/>
      <c r="AS39" s="2208">
        <f t="shared" si="2"/>
        <v>0</v>
      </c>
      <c r="AT39" s="2209"/>
      <c r="AU39" s="2209"/>
      <c r="AV39" s="2209"/>
      <c r="AW39" s="2209"/>
      <c r="AX39" s="2210"/>
      <c r="AY39" s="2211">
        <f t="shared" si="3"/>
        <v>0</v>
      </c>
      <c r="AZ39" s="2212"/>
      <c r="BA39" s="2212"/>
      <c r="BB39" s="2212"/>
      <c r="BC39" s="2212"/>
      <c r="BD39" s="2213"/>
      <c r="BE39" s="1215"/>
    </row>
    <row r="40" spans="1:58" ht="15.75" customHeight="1">
      <c r="A40" s="1208"/>
      <c r="B40" s="2155" t="s">
        <v>2350</v>
      </c>
      <c r="C40" s="2156"/>
      <c r="D40" s="2156"/>
      <c r="E40" s="2156"/>
      <c r="F40" s="2156"/>
      <c r="G40" s="2156"/>
      <c r="H40" s="2156"/>
      <c r="I40" s="2156"/>
      <c r="J40" s="2220"/>
      <c r="K40" s="2220"/>
      <c r="L40" s="2220"/>
      <c r="M40" s="2220"/>
      <c r="N40" s="2220"/>
      <c r="O40" s="2220"/>
      <c r="P40" s="2220"/>
      <c r="Q40" s="2220"/>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05"/>
      <c r="AM40" s="2206"/>
      <c r="AN40" s="2206"/>
      <c r="AO40" s="2207"/>
      <c r="AP40" s="2205"/>
      <c r="AQ40" s="2206"/>
      <c r="AR40" s="2207"/>
      <c r="AS40" s="2208">
        <f t="shared" si="2"/>
        <v>0</v>
      </c>
      <c r="AT40" s="2209"/>
      <c r="AU40" s="2209"/>
      <c r="AV40" s="2209"/>
      <c r="AW40" s="2209"/>
      <c r="AX40" s="2210"/>
      <c r="AY40" s="2211">
        <f t="shared" si="3"/>
        <v>0</v>
      </c>
      <c r="AZ40" s="2212"/>
      <c r="BA40" s="2212"/>
      <c r="BB40" s="2212"/>
      <c r="BC40" s="2212"/>
      <c r="BD40" s="2213"/>
      <c r="BE40" s="1215"/>
    </row>
    <row r="41" spans="1:58" ht="15.75" customHeight="1">
      <c r="A41" s="1208"/>
      <c r="B41" s="2155" t="s">
        <v>2349</v>
      </c>
      <c r="C41" s="2156"/>
      <c r="D41" s="2156"/>
      <c r="E41" s="2156"/>
      <c r="F41" s="2156"/>
      <c r="G41" s="2156"/>
      <c r="H41" s="2156"/>
      <c r="I41" s="2156"/>
      <c r="J41" s="2220"/>
      <c r="K41" s="2220"/>
      <c r="L41" s="2220"/>
      <c r="M41" s="2220"/>
      <c r="N41" s="2220"/>
      <c r="O41" s="2220"/>
      <c r="P41" s="2220"/>
      <c r="Q41" s="2220"/>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05"/>
      <c r="AM41" s="2206"/>
      <c r="AN41" s="2206"/>
      <c r="AO41" s="2207"/>
      <c r="AP41" s="2205"/>
      <c r="AQ41" s="2206"/>
      <c r="AR41" s="2207"/>
      <c r="AS41" s="2208">
        <f t="shared" si="2"/>
        <v>0</v>
      </c>
      <c r="AT41" s="2209"/>
      <c r="AU41" s="2209"/>
      <c r="AV41" s="2209"/>
      <c r="AW41" s="2209"/>
      <c r="AX41" s="2210"/>
      <c r="AY41" s="2211">
        <f t="shared" si="3"/>
        <v>0</v>
      </c>
      <c r="AZ41" s="2212"/>
      <c r="BA41" s="2212"/>
      <c r="BB41" s="2212"/>
      <c r="BC41" s="2212"/>
      <c r="BD41" s="2213"/>
      <c r="BE41" s="1215"/>
    </row>
    <row r="42" spans="1:58" ht="15.75" customHeight="1">
      <c r="A42" s="1208"/>
      <c r="B42" s="2155" t="s">
        <v>2349</v>
      </c>
      <c r="C42" s="2156"/>
      <c r="D42" s="2156"/>
      <c r="E42" s="2156"/>
      <c r="F42" s="2156"/>
      <c r="G42" s="2156"/>
      <c r="H42" s="2156"/>
      <c r="I42" s="2156"/>
      <c r="J42" s="2220"/>
      <c r="K42" s="2220"/>
      <c r="L42" s="2220"/>
      <c r="M42" s="2220"/>
      <c r="N42" s="2220"/>
      <c r="O42" s="2220"/>
      <c r="P42" s="2220"/>
      <c r="Q42" s="2220"/>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05"/>
      <c r="AM42" s="2206"/>
      <c r="AN42" s="2206"/>
      <c r="AO42" s="2207"/>
      <c r="AP42" s="2205"/>
      <c r="AQ42" s="2206"/>
      <c r="AR42" s="2207"/>
      <c r="AS42" s="2208">
        <f t="shared" si="2"/>
        <v>0</v>
      </c>
      <c r="AT42" s="2209"/>
      <c r="AU42" s="2209"/>
      <c r="AV42" s="2209"/>
      <c r="AW42" s="2209"/>
      <c r="AX42" s="2210"/>
      <c r="AY42" s="2211">
        <f t="shared" si="3"/>
        <v>0</v>
      </c>
      <c r="AZ42" s="2212"/>
      <c r="BA42" s="2212"/>
      <c r="BB42" s="2212"/>
      <c r="BC42" s="2212"/>
      <c r="BD42" s="2213"/>
      <c r="BE42" s="1215"/>
    </row>
    <row r="43" spans="1:58" ht="15.75" customHeight="1">
      <c r="A43" s="1208"/>
      <c r="B43" s="2160" t="s">
        <v>2348</v>
      </c>
      <c r="C43" s="2161"/>
      <c r="D43" s="2161"/>
      <c r="E43" s="2161"/>
      <c r="F43" s="2161"/>
      <c r="G43" s="2161"/>
      <c r="H43" s="2161"/>
      <c r="I43" s="2161"/>
      <c r="J43" s="2220"/>
      <c r="K43" s="2220"/>
      <c r="L43" s="2220"/>
      <c r="M43" s="2220"/>
      <c r="N43" s="2220"/>
      <c r="O43" s="2220"/>
      <c r="P43" s="2220"/>
      <c r="Q43" s="2220"/>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05"/>
      <c r="AM43" s="2206"/>
      <c r="AN43" s="2206"/>
      <c r="AO43" s="2207"/>
      <c r="AP43" s="2205"/>
      <c r="AQ43" s="2206"/>
      <c r="AR43" s="2207"/>
      <c r="AS43" s="2208">
        <f t="shared" si="2"/>
        <v>0</v>
      </c>
      <c r="AT43" s="2209"/>
      <c r="AU43" s="2209"/>
      <c r="AV43" s="2209"/>
      <c r="AW43" s="2209"/>
      <c r="AX43" s="2210"/>
      <c r="AY43" s="2211">
        <f t="shared" si="3"/>
        <v>0</v>
      </c>
      <c r="AZ43" s="2212"/>
      <c r="BA43" s="2212"/>
      <c r="BB43" s="2212"/>
      <c r="BC43" s="2212"/>
      <c r="BD43" s="2213"/>
      <c r="BE43" s="1215"/>
    </row>
    <row r="44" spans="1:58" ht="15.75" customHeight="1">
      <c r="A44" s="1208"/>
      <c r="B44" s="2160" t="s">
        <v>2347</v>
      </c>
      <c r="C44" s="2161"/>
      <c r="D44" s="2161"/>
      <c r="E44" s="2161"/>
      <c r="F44" s="2161"/>
      <c r="G44" s="2161"/>
      <c r="H44" s="2161"/>
      <c r="I44" s="2161"/>
      <c r="J44" s="2220"/>
      <c r="K44" s="2220"/>
      <c r="L44" s="2220"/>
      <c r="M44" s="2220"/>
      <c r="N44" s="2220"/>
      <c r="O44" s="2220"/>
      <c r="P44" s="2220"/>
      <c r="Q44" s="2220"/>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05"/>
      <c r="AM44" s="2206"/>
      <c r="AN44" s="2206"/>
      <c r="AO44" s="2207"/>
      <c r="AP44" s="2205"/>
      <c r="AQ44" s="2206"/>
      <c r="AR44" s="2207"/>
      <c r="AS44" s="2208">
        <f t="shared" si="2"/>
        <v>0</v>
      </c>
      <c r="AT44" s="2209"/>
      <c r="AU44" s="2209"/>
      <c r="AV44" s="2209"/>
      <c r="AW44" s="2209"/>
      <c r="AX44" s="2210"/>
      <c r="AY44" s="2211">
        <f t="shared" si="3"/>
        <v>0</v>
      </c>
      <c r="AZ44" s="2212"/>
      <c r="BA44" s="2212"/>
      <c r="BB44" s="2212"/>
      <c r="BC44" s="2212"/>
      <c r="BD44" s="2213"/>
      <c r="BE44" s="1215"/>
    </row>
    <row r="45" spans="1:58" ht="15.75" customHeight="1">
      <c r="A45" s="1208"/>
      <c r="B45" s="2160" t="s">
        <v>2346</v>
      </c>
      <c r="C45" s="2161"/>
      <c r="D45" s="2161"/>
      <c r="E45" s="2161"/>
      <c r="F45" s="2161"/>
      <c r="G45" s="2161"/>
      <c r="H45" s="2161"/>
      <c r="I45" s="2161"/>
      <c r="J45" s="2220"/>
      <c r="K45" s="2220"/>
      <c r="L45" s="2220"/>
      <c r="M45" s="2220"/>
      <c r="N45" s="2220"/>
      <c r="O45" s="2220"/>
      <c r="P45" s="2220"/>
      <c r="Q45" s="2220"/>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05"/>
      <c r="AM45" s="2206"/>
      <c r="AN45" s="2206"/>
      <c r="AO45" s="2207"/>
      <c r="AP45" s="2205"/>
      <c r="AQ45" s="2206"/>
      <c r="AR45" s="2207"/>
      <c r="AS45" s="2208">
        <f t="shared" si="2"/>
        <v>0</v>
      </c>
      <c r="AT45" s="2209"/>
      <c r="AU45" s="2209"/>
      <c r="AV45" s="2209"/>
      <c r="AW45" s="2209"/>
      <c r="AX45" s="2210"/>
      <c r="AY45" s="2211">
        <f t="shared" si="3"/>
        <v>0</v>
      </c>
      <c r="AZ45" s="2212"/>
      <c r="BA45" s="2212"/>
      <c r="BB45" s="2212"/>
      <c r="BC45" s="2212"/>
      <c r="BD45" s="2213"/>
      <c r="BE45" s="1215"/>
    </row>
    <row r="46" spans="1:58" ht="15.75" customHeight="1">
      <c r="A46" s="1208"/>
      <c r="B46" s="2160" t="s">
        <v>2278</v>
      </c>
      <c r="C46" s="2161"/>
      <c r="D46" s="2161"/>
      <c r="E46" s="2161"/>
      <c r="F46" s="2161"/>
      <c r="G46" s="2161"/>
      <c r="H46" s="2161"/>
      <c r="I46" s="2161"/>
      <c r="J46" s="2220"/>
      <c r="K46" s="2220"/>
      <c r="L46" s="2220"/>
      <c r="M46" s="2220"/>
      <c r="N46" s="2220">
        <v>99</v>
      </c>
      <c r="O46" s="2220"/>
      <c r="P46" s="2220"/>
      <c r="Q46" s="2220"/>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05"/>
      <c r="AM46" s="2206"/>
      <c r="AN46" s="2206"/>
      <c r="AO46" s="2207"/>
      <c r="AP46" s="2205"/>
      <c r="AQ46" s="2206"/>
      <c r="AR46" s="2207"/>
      <c r="AS46" s="2208">
        <f t="shared" si="2"/>
        <v>0</v>
      </c>
      <c r="AT46" s="2209"/>
      <c r="AU46" s="2209"/>
      <c r="AV46" s="2209"/>
      <c r="AW46" s="2209"/>
      <c r="AX46" s="2210"/>
      <c r="AY46" s="2211">
        <f t="shared" si="3"/>
        <v>0</v>
      </c>
      <c r="AZ46" s="2212"/>
      <c r="BA46" s="2212"/>
      <c r="BB46" s="2212"/>
      <c r="BC46" s="2212"/>
      <c r="BD46" s="2213"/>
      <c r="BE46" s="1215"/>
    </row>
    <row r="47" spans="1:58" ht="15.75" customHeight="1" thickBot="1">
      <c r="A47" s="1208"/>
      <c r="B47" s="2214" t="s">
        <v>300</v>
      </c>
      <c r="C47" s="2215"/>
      <c r="D47" s="2215"/>
      <c r="E47" s="2215"/>
      <c r="F47" s="2215"/>
      <c r="G47" s="2215"/>
      <c r="H47" s="2215"/>
      <c r="I47" s="2215"/>
      <c r="J47" s="2216"/>
      <c r="K47" s="2216"/>
      <c r="L47" s="2216"/>
      <c r="M47" s="2216"/>
      <c r="N47" s="2216"/>
      <c r="O47" s="2216"/>
      <c r="P47" s="2216"/>
      <c r="Q47" s="2216"/>
      <c r="R47" s="2201"/>
      <c r="S47" s="2201"/>
      <c r="T47" s="2201"/>
      <c r="U47" s="2201"/>
      <c r="V47" s="2201"/>
      <c r="W47" s="2201"/>
      <c r="X47" s="2201"/>
      <c r="Y47" s="2201"/>
      <c r="Z47" s="2201"/>
      <c r="AA47" s="2201"/>
      <c r="AB47" s="2201"/>
      <c r="AC47" s="2201"/>
      <c r="AD47" s="2201"/>
      <c r="AE47" s="2201"/>
      <c r="AF47" s="2201"/>
      <c r="AG47" s="2201"/>
      <c r="AH47" s="2201"/>
      <c r="AI47" s="2201"/>
      <c r="AJ47" s="2201"/>
      <c r="AK47" s="2201"/>
      <c r="AL47" s="2202"/>
      <c r="AM47" s="2203"/>
      <c r="AN47" s="2203"/>
      <c r="AO47" s="2204"/>
      <c r="AP47" s="2202"/>
      <c r="AQ47" s="2203"/>
      <c r="AR47" s="2204"/>
      <c r="AS47" s="2208">
        <f t="shared" si="2"/>
        <v>0</v>
      </c>
      <c r="AT47" s="2209"/>
      <c r="AU47" s="2209"/>
      <c r="AV47" s="2209"/>
      <c r="AW47" s="2209"/>
      <c r="AX47" s="2210"/>
      <c r="AY47" s="2217">
        <f t="shared" si="3"/>
        <v>0</v>
      </c>
      <c r="AZ47" s="2218"/>
      <c r="BA47" s="2218"/>
      <c r="BB47" s="2218"/>
      <c r="BC47" s="2218"/>
      <c r="BD47" s="2219"/>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9" t="s">
        <v>2343</v>
      </c>
      <c r="C50" s="2035"/>
      <c r="D50" s="2035"/>
      <c r="E50" s="2035"/>
      <c r="F50" s="2035"/>
      <c r="G50" s="2035"/>
      <c r="H50" s="2035"/>
      <c r="I50" s="2035"/>
      <c r="J50" s="2035"/>
      <c r="K50" s="2035"/>
      <c r="L50" s="2035"/>
      <c r="M50" s="2035"/>
      <c r="N50" s="2035"/>
      <c r="O50" s="2035"/>
      <c r="P50" s="2035"/>
      <c r="Q50" s="2035"/>
      <c r="R50" s="2035"/>
      <c r="S50" s="2035"/>
      <c r="T50" s="2035"/>
      <c r="U50" s="2035"/>
      <c r="V50" s="2035"/>
      <c r="W50" s="2035"/>
      <c r="X50" s="2035"/>
      <c r="Y50" s="2035"/>
      <c r="Z50" s="2035"/>
      <c r="AA50" s="2035"/>
      <c r="AB50" s="2035"/>
      <c r="AC50" s="2035"/>
      <c r="AD50" s="2035"/>
      <c r="AE50" s="2035"/>
      <c r="AF50" s="2035"/>
      <c r="AG50" s="2035"/>
      <c r="AH50" s="2035"/>
      <c r="AI50" s="2035"/>
      <c r="AJ50" s="2035"/>
      <c r="AK50" s="2035"/>
      <c r="AL50" s="2035"/>
      <c r="AM50" s="2035"/>
      <c r="AN50" s="2035"/>
      <c r="AO50" s="2036"/>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3" t="s">
        <v>2336</v>
      </c>
      <c r="C51" s="2107"/>
      <c r="D51" s="2107"/>
      <c r="E51" s="2107"/>
      <c r="F51" s="2107"/>
      <c r="G51" s="2107"/>
      <c r="H51" s="2107"/>
      <c r="I51" s="2107"/>
      <c r="J51" s="2107" t="s">
        <v>2342</v>
      </c>
      <c r="K51" s="2107"/>
      <c r="L51" s="2107"/>
      <c r="M51" s="2107"/>
      <c r="N51" s="2107"/>
      <c r="O51" s="2107"/>
      <c r="P51" s="2107"/>
      <c r="Q51" s="2107"/>
      <c r="R51" s="2199" t="s">
        <v>2341</v>
      </c>
      <c r="S51" s="2199"/>
      <c r="T51" s="2199"/>
      <c r="U51" s="2199"/>
      <c r="V51" s="2199"/>
      <c r="W51" s="2199"/>
      <c r="X51" s="2199"/>
      <c r="Y51" s="2199"/>
      <c r="Z51" s="2199" t="s">
        <v>2340</v>
      </c>
      <c r="AA51" s="2199"/>
      <c r="AB51" s="2199"/>
      <c r="AC51" s="2199"/>
      <c r="AD51" s="2199"/>
      <c r="AE51" s="2199"/>
      <c r="AF51" s="2199"/>
      <c r="AG51" s="2199"/>
      <c r="AH51" s="2199" t="s">
        <v>2339</v>
      </c>
      <c r="AI51" s="2199"/>
      <c r="AJ51" s="2199"/>
      <c r="AK51" s="2199"/>
      <c r="AL51" s="2199"/>
      <c r="AM51" s="2199"/>
      <c r="AN51" s="2199"/>
      <c r="AO51" s="2200"/>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0" t="s">
        <v>2338</v>
      </c>
      <c r="C52" s="2161"/>
      <c r="D52" s="2161"/>
      <c r="E52" s="2161"/>
      <c r="F52" s="2161"/>
      <c r="G52" s="2161"/>
      <c r="H52" s="2161"/>
      <c r="I52" s="2161"/>
      <c r="J52" s="1996">
        <v>0</v>
      </c>
      <c r="K52" s="1996"/>
      <c r="L52" s="1996"/>
      <c r="M52" s="1996"/>
      <c r="N52" s="1996"/>
      <c r="O52" s="1996"/>
      <c r="P52" s="1996"/>
      <c r="Q52" s="1996"/>
      <c r="R52" s="2191">
        <v>0</v>
      </c>
      <c r="S52" s="2191"/>
      <c r="T52" s="2191"/>
      <c r="U52" s="2191"/>
      <c r="V52" s="2191"/>
      <c r="W52" s="2191"/>
      <c r="X52" s="2191"/>
      <c r="Y52" s="2191"/>
      <c r="Z52" s="2192">
        <v>0</v>
      </c>
      <c r="AA52" s="2192"/>
      <c r="AB52" s="2192"/>
      <c r="AC52" s="2192"/>
      <c r="AD52" s="2192"/>
      <c r="AE52" s="2192"/>
      <c r="AF52" s="2192"/>
      <c r="AG52" s="2192"/>
      <c r="AH52" s="2193"/>
      <c r="AI52" s="2193"/>
      <c r="AJ52" s="2193"/>
      <c r="AK52" s="2193"/>
      <c r="AL52" s="2193"/>
      <c r="AM52" s="2193"/>
      <c r="AN52" s="2193"/>
      <c r="AO52" s="2194"/>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0" t="s">
        <v>2337</v>
      </c>
      <c r="C53" s="2161"/>
      <c r="D53" s="2161"/>
      <c r="E53" s="2161"/>
      <c r="F53" s="2161"/>
      <c r="G53" s="2161"/>
      <c r="H53" s="2161"/>
      <c r="I53" s="2161"/>
      <c r="J53" s="1996">
        <v>0</v>
      </c>
      <c r="K53" s="1996"/>
      <c r="L53" s="1996"/>
      <c r="M53" s="1996"/>
      <c r="N53" s="1996"/>
      <c r="O53" s="1996"/>
      <c r="P53" s="1996"/>
      <c r="Q53" s="1996"/>
      <c r="R53" s="2191">
        <v>0</v>
      </c>
      <c r="S53" s="2191"/>
      <c r="T53" s="2191"/>
      <c r="U53" s="2191"/>
      <c r="V53" s="2191"/>
      <c r="W53" s="2191"/>
      <c r="X53" s="2191"/>
      <c r="Y53" s="2191"/>
      <c r="Z53" s="2192">
        <v>0</v>
      </c>
      <c r="AA53" s="2192"/>
      <c r="AB53" s="2192"/>
      <c r="AC53" s="2192"/>
      <c r="AD53" s="2192"/>
      <c r="AE53" s="2192"/>
      <c r="AF53" s="2192"/>
      <c r="AG53" s="2192"/>
      <c r="AH53" s="2193"/>
      <c r="AI53" s="2193"/>
      <c r="AJ53" s="2193"/>
      <c r="AK53" s="2193"/>
      <c r="AL53" s="2193"/>
      <c r="AM53" s="2193"/>
      <c r="AN53" s="2193"/>
      <c r="AO53" s="2194"/>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0"/>
      <c r="C54" s="2161"/>
      <c r="D54" s="2161"/>
      <c r="E54" s="2161"/>
      <c r="F54" s="2161"/>
      <c r="G54" s="2161"/>
      <c r="H54" s="2161"/>
      <c r="I54" s="2161"/>
      <c r="J54" s="1996"/>
      <c r="K54" s="1996"/>
      <c r="L54" s="1996"/>
      <c r="M54" s="1996"/>
      <c r="N54" s="1996"/>
      <c r="O54" s="1996"/>
      <c r="P54" s="1996"/>
      <c r="Q54" s="1996"/>
      <c r="R54" s="2191"/>
      <c r="S54" s="2191"/>
      <c r="T54" s="2191"/>
      <c r="U54" s="2191"/>
      <c r="V54" s="2191"/>
      <c r="W54" s="2191"/>
      <c r="X54" s="2191"/>
      <c r="Y54" s="2191"/>
      <c r="Z54" s="2192"/>
      <c r="AA54" s="2192"/>
      <c r="AB54" s="2192"/>
      <c r="AC54" s="2192"/>
      <c r="AD54" s="2192"/>
      <c r="AE54" s="2192"/>
      <c r="AF54" s="2192"/>
      <c r="AG54" s="2192"/>
      <c r="AH54" s="2193"/>
      <c r="AI54" s="2193"/>
      <c r="AJ54" s="2193"/>
      <c r="AK54" s="2193"/>
      <c r="AL54" s="2193"/>
      <c r="AM54" s="2193"/>
      <c r="AN54" s="2193"/>
      <c r="AO54" s="2194"/>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0"/>
      <c r="C55" s="2161"/>
      <c r="D55" s="2161"/>
      <c r="E55" s="2161"/>
      <c r="F55" s="2161"/>
      <c r="G55" s="2161"/>
      <c r="H55" s="2161"/>
      <c r="I55" s="2161"/>
      <c r="J55" s="1996"/>
      <c r="K55" s="1996"/>
      <c r="L55" s="1996"/>
      <c r="M55" s="1996"/>
      <c r="N55" s="1996"/>
      <c r="O55" s="1996"/>
      <c r="P55" s="1996"/>
      <c r="Q55" s="1996"/>
      <c r="R55" s="2191"/>
      <c r="S55" s="2191"/>
      <c r="T55" s="2191"/>
      <c r="U55" s="2191"/>
      <c r="V55" s="2191"/>
      <c r="W55" s="2191"/>
      <c r="X55" s="2191"/>
      <c r="Y55" s="2191"/>
      <c r="Z55" s="2192"/>
      <c r="AA55" s="2192"/>
      <c r="AB55" s="2192"/>
      <c r="AC55" s="2192"/>
      <c r="AD55" s="2192"/>
      <c r="AE55" s="2192"/>
      <c r="AF55" s="2192"/>
      <c r="AG55" s="2192"/>
      <c r="AH55" s="2193"/>
      <c r="AI55" s="2193"/>
      <c r="AJ55" s="2193"/>
      <c r="AK55" s="2193"/>
      <c r="AL55" s="2193"/>
      <c r="AM55" s="2193"/>
      <c r="AN55" s="2193"/>
      <c r="AO55" s="2194"/>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60"/>
      <c r="C56" s="2161"/>
      <c r="D56" s="2161"/>
      <c r="E56" s="2161"/>
      <c r="F56" s="2161"/>
      <c r="G56" s="2161"/>
      <c r="H56" s="2161"/>
      <c r="I56" s="2161"/>
      <c r="J56" s="1996"/>
      <c r="K56" s="1996"/>
      <c r="L56" s="1996"/>
      <c r="M56" s="1996"/>
      <c r="N56" s="1996"/>
      <c r="O56" s="1996"/>
      <c r="P56" s="1996"/>
      <c r="Q56" s="1996"/>
      <c r="R56" s="2191"/>
      <c r="S56" s="2191"/>
      <c r="T56" s="2191"/>
      <c r="U56" s="2191"/>
      <c r="V56" s="2191"/>
      <c r="W56" s="2191"/>
      <c r="X56" s="2191"/>
      <c r="Y56" s="2191"/>
      <c r="Z56" s="2192"/>
      <c r="AA56" s="2192"/>
      <c r="AB56" s="2192"/>
      <c r="AC56" s="2192"/>
      <c r="AD56" s="2192"/>
      <c r="AE56" s="2192"/>
      <c r="AF56" s="2192"/>
      <c r="AG56" s="2192"/>
      <c r="AH56" s="2193"/>
      <c r="AI56" s="2193"/>
      <c r="AJ56" s="2193"/>
      <c r="AK56" s="2193"/>
      <c r="AL56" s="2193"/>
      <c r="AM56" s="2193"/>
      <c r="AN56" s="2193"/>
      <c r="AO56" s="2194"/>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1" t="s">
        <v>1574</v>
      </c>
      <c r="C57" s="2142"/>
      <c r="D57" s="2142"/>
      <c r="E57" s="2142"/>
      <c r="F57" s="2142"/>
      <c r="G57" s="2142"/>
      <c r="H57" s="2142"/>
      <c r="I57" s="2142"/>
      <c r="J57" s="2142"/>
      <c r="K57" s="2142"/>
      <c r="L57" s="2142"/>
      <c r="M57" s="2142"/>
      <c r="N57" s="2142"/>
      <c r="O57" s="2142"/>
      <c r="P57" s="2142"/>
      <c r="Q57" s="2142"/>
      <c r="R57" s="2195">
        <f>SUM(R52:Y56)</f>
        <v>0</v>
      </c>
      <c r="S57" s="2195"/>
      <c r="T57" s="2195"/>
      <c r="U57" s="2195"/>
      <c r="V57" s="2195"/>
      <c r="W57" s="2195"/>
      <c r="X57" s="2195"/>
      <c r="Y57" s="2195"/>
      <c r="Z57" s="2196">
        <f>SUM(Z52:AG56)</f>
        <v>0</v>
      </c>
      <c r="AA57" s="2196"/>
      <c r="AB57" s="2196"/>
      <c r="AC57" s="2196"/>
      <c r="AD57" s="2196"/>
      <c r="AE57" s="2196"/>
      <c r="AF57" s="2196"/>
      <c r="AG57" s="2196"/>
      <c r="AH57" s="2197"/>
      <c r="AI57" s="2197"/>
      <c r="AJ57" s="2197"/>
      <c r="AK57" s="2197"/>
      <c r="AL57" s="2197"/>
      <c r="AM57" s="2197"/>
      <c r="AN57" s="2197"/>
      <c r="AO57" s="2198"/>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8" t="s">
        <v>2336</v>
      </c>
      <c r="C59" s="2189"/>
      <c r="D59" s="2189"/>
      <c r="E59" s="2189"/>
      <c r="F59" s="2189"/>
      <c r="G59" s="2189"/>
      <c r="H59" s="2189"/>
      <c r="I59" s="2190"/>
      <c r="J59" s="2111" t="s">
        <v>2335</v>
      </c>
      <c r="K59" s="2111"/>
      <c r="L59" s="2111"/>
      <c r="M59" s="2111"/>
      <c r="N59" s="2111"/>
      <c r="O59" s="2111"/>
      <c r="P59" s="2111"/>
      <c r="Q59" s="2111"/>
      <c r="R59" s="2111"/>
      <c r="S59" s="2111"/>
      <c r="T59" s="2111"/>
      <c r="U59" s="2111"/>
      <c r="V59" s="2111"/>
      <c r="W59" s="2111"/>
      <c r="X59" s="2111"/>
      <c r="Y59" s="2111"/>
      <c r="Z59" s="2111"/>
      <c r="AA59" s="2111"/>
      <c r="AB59" s="2111"/>
      <c r="AC59" s="2111"/>
      <c r="AD59" s="2111"/>
      <c r="AE59" s="2111"/>
      <c r="AF59" s="2111"/>
      <c r="AG59" s="2111"/>
      <c r="AH59" s="2111"/>
      <c r="AI59" s="2111"/>
      <c r="AJ59" s="2111"/>
      <c r="AK59" s="2111"/>
      <c r="AL59" s="2111"/>
      <c r="AM59" s="2111"/>
      <c r="AN59" s="2111"/>
      <c r="AO59" s="2111"/>
      <c r="AP59" s="2111"/>
      <c r="AQ59" s="2111"/>
      <c r="AR59" s="2111"/>
      <c r="AS59" s="2111"/>
      <c r="AT59" s="2111"/>
      <c r="AU59" s="2111"/>
      <c r="AV59" s="2111"/>
      <c r="AW59" s="2112"/>
      <c r="AX59" s="1208"/>
      <c r="AY59" s="1208"/>
      <c r="AZ59" s="1208"/>
      <c r="BA59" s="1208"/>
      <c r="BB59" s="1208"/>
      <c r="BC59" s="1208"/>
      <c r="BD59" s="1208"/>
      <c r="BE59" s="1215"/>
    </row>
    <row r="60" spans="1:77" ht="15.75" customHeight="1">
      <c r="A60" s="1208"/>
      <c r="B60" s="2180" t="str">
        <f>IF(B52="", "", B52)</f>
        <v>Services Company 1</v>
      </c>
      <c r="C60" s="2181"/>
      <c r="D60" s="2181"/>
      <c r="E60" s="2181"/>
      <c r="F60" s="2181"/>
      <c r="G60" s="2181"/>
      <c r="H60" s="2181"/>
      <c r="I60" s="2182"/>
      <c r="J60" s="2183"/>
      <c r="K60" s="1999"/>
      <c r="L60" s="1999"/>
      <c r="M60" s="1999"/>
      <c r="N60" s="1999"/>
      <c r="O60" s="1999"/>
      <c r="P60" s="1999"/>
      <c r="Q60" s="1999"/>
      <c r="R60" s="1999"/>
      <c r="S60" s="1999"/>
      <c r="T60" s="1999"/>
      <c r="U60" s="1999"/>
      <c r="V60" s="1999"/>
      <c r="W60" s="1999"/>
      <c r="X60" s="1999"/>
      <c r="Y60" s="1999"/>
      <c r="Z60" s="1999"/>
      <c r="AA60" s="1999"/>
      <c r="AB60" s="1999"/>
      <c r="AC60" s="1999"/>
      <c r="AD60" s="1999"/>
      <c r="AE60" s="1999"/>
      <c r="AF60" s="1999"/>
      <c r="AG60" s="1999"/>
      <c r="AH60" s="1999"/>
      <c r="AI60" s="1999"/>
      <c r="AJ60" s="1999"/>
      <c r="AK60" s="1999"/>
      <c r="AL60" s="1999"/>
      <c r="AM60" s="1999"/>
      <c r="AN60" s="1999"/>
      <c r="AO60" s="1999"/>
      <c r="AP60" s="1999"/>
      <c r="AQ60" s="1999"/>
      <c r="AR60" s="1999"/>
      <c r="AS60" s="1999"/>
      <c r="AT60" s="1999"/>
      <c r="AU60" s="1999"/>
      <c r="AV60" s="1999"/>
      <c r="AW60" s="2000"/>
      <c r="AX60" s="1208"/>
      <c r="AY60" s="1208"/>
      <c r="AZ60" s="1208"/>
      <c r="BA60" s="1208"/>
      <c r="BB60" s="1208"/>
      <c r="BC60" s="1208"/>
      <c r="BD60" s="1208"/>
      <c r="BE60" s="1215"/>
    </row>
    <row r="61" spans="1:77" ht="15.75" customHeight="1">
      <c r="A61" s="1208"/>
      <c r="B61" s="2180" t="str">
        <f>IF(B53="", "", B53)</f>
        <v>Services Company 2</v>
      </c>
      <c r="C61" s="2181"/>
      <c r="D61" s="2181"/>
      <c r="E61" s="2181"/>
      <c r="F61" s="2181"/>
      <c r="G61" s="2181"/>
      <c r="H61" s="2181"/>
      <c r="I61" s="2182"/>
      <c r="J61" s="2183"/>
      <c r="K61" s="1999"/>
      <c r="L61" s="1999"/>
      <c r="M61" s="1999"/>
      <c r="N61" s="1999"/>
      <c r="O61" s="1999"/>
      <c r="P61" s="1999"/>
      <c r="Q61" s="1999"/>
      <c r="R61" s="1999"/>
      <c r="S61" s="1999"/>
      <c r="T61" s="1999"/>
      <c r="U61" s="1999"/>
      <c r="V61" s="1999"/>
      <c r="W61" s="1999"/>
      <c r="X61" s="1999"/>
      <c r="Y61" s="1999"/>
      <c r="Z61" s="1999"/>
      <c r="AA61" s="1999"/>
      <c r="AB61" s="1999"/>
      <c r="AC61" s="1999"/>
      <c r="AD61" s="1999"/>
      <c r="AE61" s="1999"/>
      <c r="AF61" s="1999"/>
      <c r="AG61" s="1999"/>
      <c r="AH61" s="1999"/>
      <c r="AI61" s="1999"/>
      <c r="AJ61" s="1999"/>
      <c r="AK61" s="1999"/>
      <c r="AL61" s="1999"/>
      <c r="AM61" s="1999"/>
      <c r="AN61" s="1999"/>
      <c r="AO61" s="1999"/>
      <c r="AP61" s="1999"/>
      <c r="AQ61" s="1999"/>
      <c r="AR61" s="1999"/>
      <c r="AS61" s="1999"/>
      <c r="AT61" s="1999"/>
      <c r="AU61" s="1999"/>
      <c r="AV61" s="1999"/>
      <c r="AW61" s="2000"/>
      <c r="AX61" s="1208"/>
      <c r="AY61" s="1208"/>
      <c r="AZ61" s="1208"/>
      <c r="BA61" s="1208"/>
      <c r="BB61" s="1208"/>
      <c r="BC61" s="1208"/>
      <c r="BD61" s="1208"/>
      <c r="BE61" s="1215"/>
    </row>
    <row r="62" spans="1:77" ht="15.75" customHeight="1">
      <c r="A62" s="1208"/>
      <c r="B62" s="2180" t="str">
        <f>IF(B54="", "", B54)</f>
        <v/>
      </c>
      <c r="C62" s="2181"/>
      <c r="D62" s="2181"/>
      <c r="E62" s="2181"/>
      <c r="F62" s="2181"/>
      <c r="G62" s="2181"/>
      <c r="H62" s="2181"/>
      <c r="I62" s="2182"/>
      <c r="J62" s="2183"/>
      <c r="K62" s="1999"/>
      <c r="L62" s="1999"/>
      <c r="M62" s="1999"/>
      <c r="N62" s="1999"/>
      <c r="O62" s="1999"/>
      <c r="P62" s="1999"/>
      <c r="Q62" s="1999"/>
      <c r="R62" s="1999"/>
      <c r="S62" s="1999"/>
      <c r="T62" s="1999"/>
      <c r="U62" s="1999"/>
      <c r="V62" s="1999"/>
      <c r="W62" s="1999"/>
      <c r="X62" s="1999"/>
      <c r="Y62" s="1999"/>
      <c r="Z62" s="1999"/>
      <c r="AA62" s="1999"/>
      <c r="AB62" s="1999"/>
      <c r="AC62" s="1999"/>
      <c r="AD62" s="1999"/>
      <c r="AE62" s="1999"/>
      <c r="AF62" s="1999"/>
      <c r="AG62" s="1999"/>
      <c r="AH62" s="1999"/>
      <c r="AI62" s="1999"/>
      <c r="AJ62" s="1999"/>
      <c r="AK62" s="1999"/>
      <c r="AL62" s="1999"/>
      <c r="AM62" s="1999"/>
      <c r="AN62" s="1999"/>
      <c r="AO62" s="1999"/>
      <c r="AP62" s="1999"/>
      <c r="AQ62" s="1999"/>
      <c r="AR62" s="1999"/>
      <c r="AS62" s="1999"/>
      <c r="AT62" s="1999"/>
      <c r="AU62" s="1999"/>
      <c r="AV62" s="1999"/>
      <c r="AW62" s="2000"/>
      <c r="AX62" s="1208"/>
      <c r="AY62" s="1208"/>
      <c r="AZ62" s="1208"/>
      <c r="BA62" s="1208"/>
      <c r="BB62" s="1208"/>
      <c r="BC62" s="1208"/>
      <c r="BD62" s="1208"/>
      <c r="BE62" s="1215"/>
    </row>
    <row r="63" spans="1:77" ht="15.75" customHeight="1">
      <c r="A63" s="1208"/>
      <c r="B63" s="2180" t="str">
        <f>IF(B55="", "", B55)</f>
        <v/>
      </c>
      <c r="C63" s="2181"/>
      <c r="D63" s="2181"/>
      <c r="E63" s="2181"/>
      <c r="F63" s="2181"/>
      <c r="G63" s="2181"/>
      <c r="H63" s="2181"/>
      <c r="I63" s="2182"/>
      <c r="J63" s="2183"/>
      <c r="K63" s="1999"/>
      <c r="L63" s="1999"/>
      <c r="M63" s="1999"/>
      <c r="N63" s="1999"/>
      <c r="O63" s="1999"/>
      <c r="P63" s="1999"/>
      <c r="Q63" s="1999"/>
      <c r="R63" s="1999"/>
      <c r="S63" s="1999"/>
      <c r="T63" s="1999"/>
      <c r="U63" s="1999"/>
      <c r="V63" s="1999"/>
      <c r="W63" s="1999"/>
      <c r="X63" s="1999"/>
      <c r="Y63" s="1999"/>
      <c r="Z63" s="1999"/>
      <c r="AA63" s="1999"/>
      <c r="AB63" s="1999"/>
      <c r="AC63" s="1999"/>
      <c r="AD63" s="1999"/>
      <c r="AE63" s="1999"/>
      <c r="AF63" s="1999"/>
      <c r="AG63" s="1999"/>
      <c r="AH63" s="1999"/>
      <c r="AI63" s="1999"/>
      <c r="AJ63" s="1999"/>
      <c r="AK63" s="1999"/>
      <c r="AL63" s="1999"/>
      <c r="AM63" s="1999"/>
      <c r="AN63" s="1999"/>
      <c r="AO63" s="1999"/>
      <c r="AP63" s="1999"/>
      <c r="AQ63" s="1999"/>
      <c r="AR63" s="1999"/>
      <c r="AS63" s="1999"/>
      <c r="AT63" s="1999"/>
      <c r="AU63" s="1999"/>
      <c r="AV63" s="1999"/>
      <c r="AW63" s="2000"/>
      <c r="AX63" s="1208"/>
      <c r="AY63" s="1208"/>
      <c r="AZ63" s="1208"/>
      <c r="BA63" s="1208"/>
      <c r="BB63" s="1208"/>
      <c r="BC63" s="1208"/>
      <c r="BD63" s="1208"/>
      <c r="BE63" s="1215"/>
    </row>
    <row r="64" spans="1:77" ht="15.75" customHeight="1" thickBot="1">
      <c r="A64" s="1208"/>
      <c r="B64" s="2184" t="str">
        <f>IF(B56="", "", B56)</f>
        <v/>
      </c>
      <c r="C64" s="2185"/>
      <c r="D64" s="2185"/>
      <c r="E64" s="2185"/>
      <c r="F64" s="2185"/>
      <c r="G64" s="2185"/>
      <c r="H64" s="2185"/>
      <c r="I64" s="2186"/>
      <c r="J64" s="2187"/>
      <c r="K64" s="2170"/>
      <c r="L64" s="2170"/>
      <c r="M64" s="2170"/>
      <c r="N64" s="2170"/>
      <c r="O64" s="2170"/>
      <c r="P64" s="2170"/>
      <c r="Q64" s="2170"/>
      <c r="R64" s="2170"/>
      <c r="S64" s="2170"/>
      <c r="T64" s="2170"/>
      <c r="U64" s="2170"/>
      <c r="V64" s="2170"/>
      <c r="W64" s="2170"/>
      <c r="X64" s="2170"/>
      <c r="Y64" s="2170"/>
      <c r="Z64" s="2170"/>
      <c r="AA64" s="2170"/>
      <c r="AB64" s="2170"/>
      <c r="AC64" s="2170"/>
      <c r="AD64" s="2170"/>
      <c r="AE64" s="2170"/>
      <c r="AF64" s="2170"/>
      <c r="AG64" s="2170"/>
      <c r="AH64" s="2170"/>
      <c r="AI64" s="2170"/>
      <c r="AJ64" s="2170"/>
      <c r="AK64" s="2170"/>
      <c r="AL64" s="2170"/>
      <c r="AM64" s="2170"/>
      <c r="AN64" s="2170"/>
      <c r="AO64" s="2170"/>
      <c r="AP64" s="2170"/>
      <c r="AQ64" s="2170"/>
      <c r="AR64" s="2170"/>
      <c r="AS64" s="2170"/>
      <c r="AT64" s="2170"/>
      <c r="AU64" s="2170"/>
      <c r="AV64" s="2170"/>
      <c r="AW64" s="2171"/>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0" t="s">
        <v>2333</v>
      </c>
      <c r="C68" s="2111"/>
      <c r="D68" s="2111"/>
      <c r="E68" s="2111"/>
      <c r="F68" s="2111"/>
      <c r="G68" s="2111"/>
      <c r="H68" s="2111"/>
      <c r="I68" s="2111"/>
      <c r="J68" s="2111"/>
      <c r="K68" s="2111"/>
      <c r="L68" s="2111"/>
      <c r="M68" s="2111"/>
      <c r="N68" s="2111"/>
      <c r="O68" s="2111"/>
      <c r="P68" s="2111"/>
      <c r="Q68" s="2111"/>
      <c r="R68" s="2111"/>
      <c r="S68" s="2111"/>
      <c r="T68" s="2111"/>
      <c r="U68" s="2111"/>
      <c r="V68" s="2111"/>
      <c r="W68" s="2111"/>
      <c r="X68" s="2111"/>
      <c r="Y68" s="2111"/>
      <c r="Z68" s="2111"/>
      <c r="AA68" s="2112"/>
      <c r="AB68" s="1208"/>
      <c r="AC68" s="2033" t="s">
        <v>2332</v>
      </c>
      <c r="AD68" s="2034"/>
      <c r="AE68" s="2034"/>
      <c r="AF68" s="2034"/>
      <c r="AG68" s="2034"/>
      <c r="AH68" s="2034"/>
      <c r="AI68" s="2034"/>
      <c r="AJ68" s="2034"/>
      <c r="AK68" s="2034"/>
      <c r="AL68" s="2034"/>
      <c r="AM68" s="2034"/>
      <c r="AN68" s="2034"/>
      <c r="AO68" s="2034"/>
      <c r="AP68" s="2034"/>
      <c r="AQ68" s="2034"/>
      <c r="AR68" s="2034"/>
      <c r="AS68" s="2034"/>
      <c r="AT68" s="2034"/>
      <c r="AU68" s="2034"/>
      <c r="AV68" s="2172" t="s">
        <v>669</v>
      </c>
      <c r="AW68" s="2090"/>
      <c r="AX68" s="2090"/>
      <c r="AY68" s="2090"/>
      <c r="AZ68" s="2090"/>
      <c r="BA68" s="2090"/>
      <c r="BB68" s="2090"/>
      <c r="BC68" s="2091"/>
      <c r="BD68" s="1208"/>
      <c r="BE68" s="1215"/>
      <c r="BM68" s="1221" t="s">
        <v>2331</v>
      </c>
    </row>
    <row r="69" spans="1:94" ht="15.75" customHeight="1" thickTop="1" thickBot="1">
      <c r="A69" s="1208"/>
      <c r="B69" s="2173" t="s">
        <v>2330</v>
      </c>
      <c r="C69" s="2174"/>
      <c r="D69" s="2174"/>
      <c r="E69" s="2174"/>
      <c r="F69" s="2174"/>
      <c r="G69" s="2174"/>
      <c r="H69" s="2174"/>
      <c r="I69" s="2174"/>
      <c r="J69" s="2174"/>
      <c r="K69" s="2174"/>
      <c r="L69" s="2174"/>
      <c r="M69" s="2174"/>
      <c r="N69" s="2174"/>
      <c r="O69" s="2175" t="s">
        <v>2329</v>
      </c>
      <c r="P69" s="2176"/>
      <c r="Q69" s="2176"/>
      <c r="R69" s="2176"/>
      <c r="S69" s="2176"/>
      <c r="T69" s="2176"/>
      <c r="U69" s="2176"/>
      <c r="V69" s="2176"/>
      <c r="W69" s="2176"/>
      <c r="X69" s="2176"/>
      <c r="Y69" s="2176"/>
      <c r="Z69" s="2176"/>
      <c r="AA69" s="2177"/>
      <c r="AB69" s="1208"/>
      <c r="AC69" s="2178" t="s">
        <v>2328</v>
      </c>
      <c r="AD69" s="2179"/>
      <c r="AE69" s="2179"/>
      <c r="AF69" s="2179"/>
      <c r="AG69" s="2179"/>
      <c r="AH69" s="2179"/>
      <c r="AI69" s="2179"/>
      <c r="AJ69" s="2179"/>
      <c r="AK69" s="2179"/>
      <c r="AL69" s="2179"/>
      <c r="AM69" s="2179"/>
      <c r="AN69" s="2179"/>
      <c r="AO69" s="2179"/>
      <c r="AP69" s="2179"/>
      <c r="AQ69" s="2179"/>
      <c r="AR69" s="2179"/>
      <c r="AS69" s="2179"/>
      <c r="AT69" s="2179"/>
      <c r="AU69" s="2179"/>
      <c r="AV69" s="2172" t="s">
        <v>669</v>
      </c>
      <c r="AW69" s="2090"/>
      <c r="AX69" s="2090"/>
      <c r="AY69" s="2090"/>
      <c r="AZ69" s="2090"/>
      <c r="BA69" s="2090"/>
      <c r="BB69" s="2090"/>
      <c r="BC69" s="2091"/>
      <c r="BD69" s="1208"/>
      <c r="BE69" s="1215"/>
      <c r="BM69" s="1222" t="s">
        <v>545</v>
      </c>
    </row>
    <row r="70" spans="1:94" ht="15.75" customHeight="1">
      <c r="A70" s="1208"/>
      <c r="B70" s="2155" t="s">
        <v>2327</v>
      </c>
      <c r="C70" s="2156"/>
      <c r="D70" s="2156"/>
      <c r="E70" s="2156"/>
      <c r="F70" s="2156"/>
      <c r="G70" s="2156"/>
      <c r="H70" s="2156"/>
      <c r="I70" s="2156"/>
      <c r="J70" s="2156"/>
      <c r="K70" s="2156"/>
      <c r="L70" s="2156"/>
      <c r="M70" s="2156"/>
      <c r="N70" s="2156"/>
      <c r="O70" s="2041">
        <v>0</v>
      </c>
      <c r="P70" s="2041"/>
      <c r="Q70" s="2041"/>
      <c r="R70" s="2041"/>
      <c r="S70" s="2041"/>
      <c r="T70" s="2041"/>
      <c r="U70" s="2041"/>
      <c r="V70" s="2041"/>
      <c r="W70" s="2041"/>
      <c r="X70" s="2041"/>
      <c r="Y70" s="2041"/>
      <c r="Z70" s="2041"/>
      <c r="AA70" s="2157"/>
      <c r="AB70" s="1208"/>
      <c r="AC70" s="2079" t="s">
        <v>2326</v>
      </c>
      <c r="AD70" s="2035"/>
      <c r="AE70" s="2035"/>
      <c r="AF70" s="2166"/>
      <c r="AG70" s="2166"/>
      <c r="AH70" s="2166"/>
      <c r="AI70" s="2166"/>
      <c r="AJ70" s="2166"/>
      <c r="AK70" s="2166"/>
      <c r="AL70" s="2166"/>
      <c r="AM70" s="2166"/>
      <c r="AN70" s="2166"/>
      <c r="AO70" s="2166"/>
      <c r="AP70" s="2166"/>
      <c r="AQ70" s="2166"/>
      <c r="AR70" s="2166"/>
      <c r="AS70" s="2166"/>
      <c r="AT70" s="2166"/>
      <c r="AU70" s="2167"/>
      <c r="AV70" s="1208"/>
      <c r="AW70" s="1208"/>
      <c r="AX70" s="1208"/>
      <c r="AY70" s="1208"/>
      <c r="AZ70" s="1208"/>
      <c r="BA70" s="1208"/>
      <c r="BB70" s="1208"/>
      <c r="BC70" s="1208"/>
      <c r="BD70" s="1208"/>
      <c r="BE70" s="1215"/>
      <c r="BM70" s="1223" t="s">
        <v>669</v>
      </c>
    </row>
    <row r="71" spans="1:94" ht="15.75" customHeight="1" thickBot="1">
      <c r="A71" s="1208"/>
      <c r="B71" s="2155" t="s">
        <v>2325</v>
      </c>
      <c r="C71" s="2156"/>
      <c r="D71" s="2156"/>
      <c r="E71" s="2156"/>
      <c r="F71" s="2156"/>
      <c r="G71" s="2156"/>
      <c r="H71" s="2156"/>
      <c r="I71" s="2156"/>
      <c r="J71" s="2156"/>
      <c r="K71" s="2156"/>
      <c r="L71" s="2156"/>
      <c r="M71" s="2156"/>
      <c r="N71" s="2156"/>
      <c r="O71" s="2041">
        <v>0</v>
      </c>
      <c r="P71" s="2041"/>
      <c r="Q71" s="2041"/>
      <c r="R71" s="2041"/>
      <c r="S71" s="2041"/>
      <c r="T71" s="2041"/>
      <c r="U71" s="2041"/>
      <c r="V71" s="2041"/>
      <c r="W71" s="2041"/>
      <c r="X71" s="2041"/>
      <c r="Y71" s="2041"/>
      <c r="Z71" s="2041"/>
      <c r="AA71" s="2157"/>
      <c r="AB71" s="1208"/>
      <c r="AC71" s="2168" t="s">
        <v>2324</v>
      </c>
      <c r="AD71" s="2169"/>
      <c r="AE71" s="2169"/>
      <c r="AF71" s="2170"/>
      <c r="AG71" s="2170"/>
      <c r="AH71" s="2170"/>
      <c r="AI71" s="2170"/>
      <c r="AJ71" s="2170"/>
      <c r="AK71" s="2170"/>
      <c r="AL71" s="2170"/>
      <c r="AM71" s="2170"/>
      <c r="AN71" s="2170"/>
      <c r="AO71" s="2170"/>
      <c r="AP71" s="2170"/>
      <c r="AQ71" s="2170"/>
      <c r="AR71" s="2170"/>
      <c r="AS71" s="2170"/>
      <c r="AT71" s="2170"/>
      <c r="AU71" s="2171"/>
      <c r="AV71" s="1208"/>
      <c r="AW71" s="1208"/>
      <c r="AX71" s="1208"/>
      <c r="AY71" s="1208"/>
      <c r="AZ71" s="1208"/>
      <c r="BA71" s="1208"/>
      <c r="BB71" s="1208"/>
      <c r="BC71" s="1208"/>
      <c r="BD71" s="1208"/>
      <c r="BE71" s="1215"/>
      <c r="BM71" s="1204" t="s">
        <v>2323</v>
      </c>
    </row>
    <row r="72" spans="1:94" ht="15.75" customHeight="1">
      <c r="A72" s="1208"/>
      <c r="B72" s="2155" t="s">
        <v>2322</v>
      </c>
      <c r="C72" s="2156"/>
      <c r="D72" s="2156"/>
      <c r="E72" s="2156"/>
      <c r="F72" s="2156"/>
      <c r="G72" s="2156"/>
      <c r="H72" s="2156"/>
      <c r="I72" s="2156"/>
      <c r="J72" s="2156"/>
      <c r="K72" s="2156"/>
      <c r="L72" s="2156"/>
      <c r="M72" s="2156"/>
      <c r="N72" s="2156"/>
      <c r="O72" s="2041">
        <v>0</v>
      </c>
      <c r="P72" s="2041"/>
      <c r="Q72" s="2041"/>
      <c r="R72" s="2041"/>
      <c r="S72" s="2041"/>
      <c r="T72" s="2041"/>
      <c r="U72" s="2041"/>
      <c r="V72" s="2041"/>
      <c r="W72" s="2041"/>
      <c r="X72" s="2041"/>
      <c r="Y72" s="2041"/>
      <c r="Z72" s="2041"/>
      <c r="AA72" s="2157"/>
      <c r="AB72" s="1208"/>
      <c r="AC72" s="2158" t="s">
        <v>2321</v>
      </c>
      <c r="AD72" s="2159"/>
      <c r="AE72" s="2159"/>
      <c r="AF72" s="2159"/>
      <c r="AG72" s="2159"/>
      <c r="AH72" s="2159"/>
      <c r="AI72" s="2159"/>
      <c r="AJ72" s="2159"/>
      <c r="AK72" s="2159"/>
      <c r="AL72" s="2159"/>
      <c r="AM72" s="2159"/>
      <c r="AN72" s="2159"/>
      <c r="AO72" s="2159"/>
      <c r="AP72" s="2159"/>
      <c r="AQ72" s="2159"/>
      <c r="AR72" s="2159"/>
      <c r="AS72" s="2159"/>
      <c r="AT72" s="2159"/>
      <c r="AU72" s="2159"/>
      <c r="AV72" s="2035"/>
      <c r="AW72" s="2035"/>
      <c r="AX72" s="2035"/>
      <c r="AY72" s="2035"/>
      <c r="AZ72" s="2035"/>
      <c r="BA72" s="2035"/>
      <c r="BB72" s="2035"/>
      <c r="BC72" s="2036"/>
      <c r="BD72" s="1208"/>
      <c r="BE72" s="1215"/>
    </row>
    <row r="73" spans="1:94" ht="15.75" customHeight="1">
      <c r="A73" s="1208"/>
      <c r="B73" s="2160" t="s">
        <v>2320</v>
      </c>
      <c r="C73" s="2161"/>
      <c r="D73" s="2161"/>
      <c r="E73" s="2161"/>
      <c r="F73" s="2161"/>
      <c r="G73" s="2161"/>
      <c r="H73" s="2161"/>
      <c r="I73" s="2161"/>
      <c r="J73" s="2161"/>
      <c r="K73" s="2161"/>
      <c r="L73" s="2161"/>
      <c r="M73" s="2161"/>
      <c r="N73" s="2161"/>
      <c r="O73" s="2041">
        <v>0</v>
      </c>
      <c r="P73" s="2041"/>
      <c r="Q73" s="2041"/>
      <c r="R73" s="2041"/>
      <c r="S73" s="2041"/>
      <c r="T73" s="2041"/>
      <c r="U73" s="2041"/>
      <c r="V73" s="2041"/>
      <c r="W73" s="2041"/>
      <c r="X73" s="2041"/>
      <c r="Y73" s="2041"/>
      <c r="Z73" s="2041"/>
      <c r="AA73" s="2157"/>
      <c r="AB73" s="1208"/>
      <c r="AC73" s="2050" t="s">
        <v>2273</v>
      </c>
      <c r="AD73" s="2051"/>
      <c r="AE73" s="2051"/>
      <c r="AF73" s="2051"/>
      <c r="AG73" s="2051"/>
      <c r="AH73" s="2051"/>
      <c r="AI73" s="2051"/>
      <c r="AJ73" s="2051"/>
      <c r="AK73" s="2051"/>
      <c r="AL73" s="2051"/>
      <c r="AM73" s="2051"/>
      <c r="AN73" s="2051"/>
      <c r="AO73" s="2051"/>
      <c r="AP73" s="2051"/>
      <c r="AQ73" s="2051"/>
      <c r="AR73" s="2051"/>
      <c r="AS73" s="2051"/>
      <c r="AT73" s="2051"/>
      <c r="AU73" s="2051"/>
      <c r="AV73" s="2051"/>
      <c r="AW73" s="2051"/>
      <c r="AX73" s="2051"/>
      <c r="AY73" s="2051"/>
      <c r="AZ73" s="2051"/>
      <c r="BA73" s="2051"/>
      <c r="BB73" s="2051"/>
      <c r="BC73" s="2052"/>
      <c r="BD73" s="1208"/>
      <c r="BE73" s="1215"/>
      <c r="CK73" s="1206"/>
      <c r="CL73" s="1206"/>
      <c r="CM73" s="1206"/>
      <c r="CN73" s="1206"/>
      <c r="CO73" s="1206"/>
      <c r="CP73" s="1206"/>
    </row>
    <row r="74" spans="1:94" ht="15.75" customHeight="1">
      <c r="A74" s="1208"/>
      <c r="B74" s="1995"/>
      <c r="C74" s="1996"/>
      <c r="D74" s="1996"/>
      <c r="E74" s="1996"/>
      <c r="F74" s="1996"/>
      <c r="G74" s="1996"/>
      <c r="H74" s="1996"/>
      <c r="I74" s="1996"/>
      <c r="J74" s="1996"/>
      <c r="K74" s="1996"/>
      <c r="L74" s="1996"/>
      <c r="M74" s="1996"/>
      <c r="N74" s="1996"/>
      <c r="O74" s="2041"/>
      <c r="P74" s="2041"/>
      <c r="Q74" s="2041"/>
      <c r="R74" s="2041"/>
      <c r="S74" s="2041"/>
      <c r="T74" s="2041"/>
      <c r="U74" s="2041"/>
      <c r="V74" s="2041"/>
      <c r="W74" s="2041"/>
      <c r="X74" s="2041"/>
      <c r="Y74" s="2041"/>
      <c r="Z74" s="2041"/>
      <c r="AA74" s="2157"/>
      <c r="AB74" s="1208"/>
      <c r="AC74" s="2050"/>
      <c r="AD74" s="2051"/>
      <c r="AE74" s="2051"/>
      <c r="AF74" s="2051"/>
      <c r="AG74" s="2051"/>
      <c r="AH74" s="2051"/>
      <c r="AI74" s="2051"/>
      <c r="AJ74" s="2051"/>
      <c r="AK74" s="2051"/>
      <c r="AL74" s="2051"/>
      <c r="AM74" s="2051"/>
      <c r="AN74" s="2051"/>
      <c r="AO74" s="2051"/>
      <c r="AP74" s="2051"/>
      <c r="AQ74" s="2051"/>
      <c r="AR74" s="2051"/>
      <c r="AS74" s="2051"/>
      <c r="AT74" s="2051"/>
      <c r="AU74" s="2051"/>
      <c r="AV74" s="2051"/>
      <c r="AW74" s="2051"/>
      <c r="AX74" s="2051"/>
      <c r="AY74" s="2051"/>
      <c r="AZ74" s="2051"/>
      <c r="BA74" s="2051"/>
      <c r="BB74" s="2051"/>
      <c r="BC74" s="2052"/>
      <c r="BD74" s="1208"/>
      <c r="BE74" s="1215"/>
      <c r="CK74" s="1206"/>
      <c r="CL74" s="1206"/>
      <c r="CM74" s="1206"/>
      <c r="CN74" s="1206"/>
      <c r="CO74" s="1206"/>
      <c r="CP74" s="1206"/>
    </row>
    <row r="75" spans="1:94" ht="15.75" customHeight="1" thickBot="1">
      <c r="A75" s="1208"/>
      <c r="B75" s="2162" t="s">
        <v>124</v>
      </c>
      <c r="C75" s="2163"/>
      <c r="D75" s="2163"/>
      <c r="E75" s="2163"/>
      <c r="F75" s="2163"/>
      <c r="G75" s="2163"/>
      <c r="H75" s="2163"/>
      <c r="I75" s="2163"/>
      <c r="J75" s="2163"/>
      <c r="K75" s="2163"/>
      <c r="L75" s="2163"/>
      <c r="M75" s="2163"/>
      <c r="N75" s="2163"/>
      <c r="O75" s="2164">
        <f>SUM(O70:AA74)</f>
        <v>0</v>
      </c>
      <c r="P75" s="2164"/>
      <c r="Q75" s="2164"/>
      <c r="R75" s="2164"/>
      <c r="S75" s="2164"/>
      <c r="T75" s="2164"/>
      <c r="U75" s="2164"/>
      <c r="V75" s="2164"/>
      <c r="W75" s="2164"/>
      <c r="X75" s="2164"/>
      <c r="Y75" s="2164"/>
      <c r="Z75" s="2164"/>
      <c r="AA75" s="2165"/>
      <c r="AB75" s="1208"/>
      <c r="AC75" s="2050"/>
      <c r="AD75" s="2051"/>
      <c r="AE75" s="2051"/>
      <c r="AF75" s="2051"/>
      <c r="AG75" s="2051"/>
      <c r="AH75" s="2051"/>
      <c r="AI75" s="2051"/>
      <c r="AJ75" s="2051"/>
      <c r="AK75" s="2051"/>
      <c r="AL75" s="2051"/>
      <c r="AM75" s="2051"/>
      <c r="AN75" s="2051"/>
      <c r="AO75" s="2051"/>
      <c r="AP75" s="2051"/>
      <c r="AQ75" s="2051"/>
      <c r="AR75" s="2051"/>
      <c r="AS75" s="2051"/>
      <c r="AT75" s="2051"/>
      <c r="AU75" s="2051"/>
      <c r="AV75" s="2051"/>
      <c r="AW75" s="2051"/>
      <c r="AX75" s="2051"/>
      <c r="AY75" s="2051"/>
      <c r="AZ75" s="2051"/>
      <c r="BA75" s="2051"/>
      <c r="BB75" s="2051"/>
      <c r="BC75" s="2052"/>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0"/>
      <c r="AD76" s="2051"/>
      <c r="AE76" s="2051"/>
      <c r="AF76" s="2051"/>
      <c r="AG76" s="2051"/>
      <c r="AH76" s="2051"/>
      <c r="AI76" s="2051"/>
      <c r="AJ76" s="2051"/>
      <c r="AK76" s="2051"/>
      <c r="AL76" s="2051"/>
      <c r="AM76" s="2051"/>
      <c r="AN76" s="2051"/>
      <c r="AO76" s="2051"/>
      <c r="AP76" s="2051"/>
      <c r="AQ76" s="2051"/>
      <c r="AR76" s="2051"/>
      <c r="AS76" s="2051"/>
      <c r="AT76" s="2051"/>
      <c r="AU76" s="2051"/>
      <c r="AV76" s="2051"/>
      <c r="AW76" s="2051"/>
      <c r="AX76" s="2051"/>
      <c r="AY76" s="2051"/>
      <c r="AZ76" s="2051"/>
      <c r="BA76" s="2051"/>
      <c r="BB76" s="2051"/>
      <c r="BC76" s="2052"/>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3"/>
      <c r="AD77" s="2054"/>
      <c r="AE77" s="2054"/>
      <c r="AF77" s="2054"/>
      <c r="AG77" s="2054"/>
      <c r="AH77" s="2054"/>
      <c r="AI77" s="2054"/>
      <c r="AJ77" s="2054"/>
      <c r="AK77" s="2054"/>
      <c r="AL77" s="2054"/>
      <c r="AM77" s="2054"/>
      <c r="AN77" s="2054"/>
      <c r="AO77" s="2054"/>
      <c r="AP77" s="2054"/>
      <c r="AQ77" s="2054"/>
      <c r="AR77" s="2054"/>
      <c r="AS77" s="2054"/>
      <c r="AT77" s="2054"/>
      <c r="AU77" s="2054"/>
      <c r="AV77" s="2054"/>
      <c r="AW77" s="2054"/>
      <c r="AX77" s="2054"/>
      <c r="AY77" s="2054"/>
      <c r="AZ77" s="2054"/>
      <c r="BA77" s="2054"/>
      <c r="BB77" s="2054"/>
      <c r="BC77" s="2055"/>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145"/>
      <c r="G79" s="2146"/>
      <c r="H79" s="2146"/>
      <c r="I79" s="2146"/>
      <c r="J79" s="2146"/>
      <c r="K79" s="2146"/>
      <c r="L79" s="2146"/>
      <c r="M79" s="2146"/>
      <c r="N79" s="2146"/>
      <c r="O79" s="2146"/>
      <c r="P79" s="2146"/>
      <c r="Q79" s="2146"/>
      <c r="R79" s="2146"/>
      <c r="S79" s="2146"/>
      <c r="T79" s="2147"/>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8" t="s">
        <v>2318</v>
      </c>
      <c r="C81" s="2149"/>
      <c r="D81" s="2149"/>
      <c r="E81" s="2149"/>
      <c r="F81" s="2149"/>
      <c r="G81" s="2149"/>
      <c r="H81" s="2149"/>
      <c r="I81" s="2149"/>
      <c r="J81" s="2149"/>
      <c r="K81" s="2149"/>
      <c r="L81" s="2149"/>
      <c r="M81" s="2149"/>
      <c r="N81" s="2149"/>
      <c r="O81" s="2149"/>
      <c r="P81" s="2149"/>
      <c r="Q81" s="2149"/>
      <c r="R81" s="2149"/>
      <c r="S81" s="2149"/>
      <c r="T81" s="2149"/>
      <c r="U81" s="2149"/>
      <c r="V81" s="2149"/>
      <c r="W81" s="2149"/>
      <c r="X81" s="2149"/>
      <c r="Y81" s="2149"/>
      <c r="Z81" s="2149"/>
      <c r="AA81" s="2149"/>
      <c r="AB81" s="2149"/>
      <c r="AC81" s="2149"/>
      <c r="AD81" s="2149"/>
      <c r="AE81" s="2149"/>
      <c r="AF81" s="2149"/>
      <c r="AG81" s="2149"/>
      <c r="AH81" s="2150"/>
      <c r="AI81" s="1208"/>
      <c r="AJ81" s="2132" t="s">
        <v>2624</v>
      </c>
      <c r="AK81" s="2133"/>
      <c r="AL81" s="2133"/>
      <c r="AM81" s="2133"/>
      <c r="AN81" s="2133"/>
      <c r="AO81" s="2133"/>
      <c r="AP81" s="2133"/>
      <c r="AQ81" s="2133"/>
      <c r="AR81" s="2133"/>
      <c r="AS81" s="2133"/>
      <c r="AT81" s="2133"/>
      <c r="AU81" s="2133"/>
      <c r="AV81" s="2133"/>
      <c r="AW81" s="2133"/>
      <c r="AX81" s="2133"/>
      <c r="AY81" s="2151" t="s">
        <v>545</v>
      </c>
      <c r="AZ81" s="2151"/>
      <c r="BA81" s="2151"/>
      <c r="BB81" s="2152"/>
      <c r="BC81" s="1208"/>
      <c r="BD81" s="1208"/>
      <c r="BE81" s="1215"/>
      <c r="CK81" s="1206"/>
      <c r="CL81" s="1206"/>
      <c r="CM81" s="1206"/>
      <c r="CN81" s="1206"/>
      <c r="CO81" s="1206"/>
      <c r="CP81" s="1206"/>
    </row>
    <row r="82" spans="1:94" ht="15.75" customHeight="1">
      <c r="A82" s="1208"/>
      <c r="B82" s="2113"/>
      <c r="C82" s="2107"/>
      <c r="D82" s="2107"/>
      <c r="E82" s="2107"/>
      <c r="F82" s="2107"/>
      <c r="G82" s="2107"/>
      <c r="H82" s="2107"/>
      <c r="I82" s="2107" t="s">
        <v>2312</v>
      </c>
      <c r="J82" s="2107"/>
      <c r="K82" s="2107"/>
      <c r="L82" s="2107"/>
      <c r="M82" s="2107"/>
      <c r="N82" s="2107"/>
      <c r="O82" s="2107" t="s">
        <v>2289</v>
      </c>
      <c r="P82" s="2107"/>
      <c r="Q82" s="2107"/>
      <c r="R82" s="2107"/>
      <c r="S82" s="2107"/>
      <c r="T82" s="2107"/>
      <c r="U82" s="2107"/>
      <c r="V82" s="2143" t="s">
        <v>2288</v>
      </c>
      <c r="W82" s="2143"/>
      <c r="X82" s="2143"/>
      <c r="Y82" s="2143"/>
      <c r="Z82" s="2143"/>
      <c r="AA82" s="2143"/>
      <c r="AB82" s="2080" t="s">
        <v>2311</v>
      </c>
      <c r="AC82" s="2080"/>
      <c r="AD82" s="2080"/>
      <c r="AE82" s="2080"/>
      <c r="AF82" s="2080"/>
      <c r="AG82" s="2080"/>
      <c r="AH82" s="2144"/>
      <c r="AI82" s="1208"/>
      <c r="AJ82" s="2135"/>
      <c r="AK82" s="2136"/>
      <c r="AL82" s="2136"/>
      <c r="AM82" s="2136"/>
      <c r="AN82" s="2136"/>
      <c r="AO82" s="2136"/>
      <c r="AP82" s="2136"/>
      <c r="AQ82" s="2136"/>
      <c r="AR82" s="2136"/>
      <c r="AS82" s="2136"/>
      <c r="AT82" s="2136"/>
      <c r="AU82" s="2136"/>
      <c r="AV82" s="2136"/>
      <c r="AW82" s="2136"/>
      <c r="AX82" s="2136"/>
      <c r="AY82" s="2153"/>
      <c r="AZ82" s="2153"/>
      <c r="BA82" s="2153"/>
      <c r="BB82" s="2154"/>
      <c r="BC82" s="1208"/>
      <c r="BD82" s="1208"/>
      <c r="BE82" s="1215"/>
      <c r="CK82" s="1206"/>
      <c r="CL82" s="1206"/>
      <c r="CM82" s="1206"/>
      <c r="CN82" s="1206"/>
      <c r="CO82" s="1206"/>
      <c r="CP82" s="1206"/>
    </row>
    <row r="83" spans="1:94" ht="15.75" customHeight="1">
      <c r="A83" s="1208"/>
      <c r="B83" s="2113"/>
      <c r="C83" s="2107"/>
      <c r="D83" s="2107"/>
      <c r="E83" s="2107"/>
      <c r="F83" s="2107"/>
      <c r="G83" s="2107"/>
      <c r="H83" s="2107"/>
      <c r="I83" s="2107"/>
      <c r="J83" s="2107"/>
      <c r="K83" s="2107"/>
      <c r="L83" s="2107"/>
      <c r="M83" s="2107"/>
      <c r="N83" s="2107"/>
      <c r="O83" s="2107"/>
      <c r="P83" s="2107"/>
      <c r="Q83" s="2107"/>
      <c r="R83" s="2107"/>
      <c r="S83" s="2107"/>
      <c r="T83" s="2107"/>
      <c r="U83" s="2107"/>
      <c r="V83" s="2143"/>
      <c r="W83" s="2143"/>
      <c r="X83" s="2143"/>
      <c r="Y83" s="2143"/>
      <c r="Z83" s="2143"/>
      <c r="AA83" s="2143"/>
      <c r="AB83" s="2080"/>
      <c r="AC83" s="2080"/>
      <c r="AD83" s="2080"/>
      <c r="AE83" s="2080"/>
      <c r="AF83" s="2080"/>
      <c r="AG83" s="2080"/>
      <c r="AH83" s="2144"/>
      <c r="AI83" s="1208"/>
      <c r="AJ83" s="2135"/>
      <c r="AK83" s="2136"/>
      <c r="AL83" s="2136"/>
      <c r="AM83" s="2136"/>
      <c r="AN83" s="2136"/>
      <c r="AO83" s="2136"/>
      <c r="AP83" s="2136"/>
      <c r="AQ83" s="2136"/>
      <c r="AR83" s="2136"/>
      <c r="AS83" s="2136"/>
      <c r="AT83" s="2136"/>
      <c r="AU83" s="2136"/>
      <c r="AV83" s="2136"/>
      <c r="AW83" s="2136"/>
      <c r="AX83" s="2136"/>
      <c r="AY83" s="2153"/>
      <c r="AZ83" s="2153"/>
      <c r="BA83" s="2153"/>
      <c r="BB83" s="2154"/>
      <c r="BC83" s="1208"/>
      <c r="BD83" s="1208"/>
      <c r="BE83" s="1215"/>
      <c r="CK83" s="1206"/>
      <c r="CL83" s="1206"/>
      <c r="CM83" s="1206"/>
      <c r="CN83" s="1206"/>
      <c r="CO83" s="1206"/>
      <c r="CP83" s="1206"/>
    </row>
    <row r="84" spans="1:94" ht="15.75" customHeight="1">
      <c r="A84" s="1208"/>
      <c r="B84" s="2113" t="s">
        <v>2310</v>
      </c>
      <c r="C84" s="2107"/>
      <c r="D84" s="2107"/>
      <c r="E84" s="2107"/>
      <c r="F84" s="2107"/>
      <c r="G84" s="2107"/>
      <c r="H84" s="2107"/>
      <c r="I84" s="2083">
        <v>0</v>
      </c>
      <c r="J84" s="2083"/>
      <c r="K84" s="2083"/>
      <c r="L84" s="2083"/>
      <c r="M84" s="2083"/>
      <c r="N84" s="2083"/>
      <c r="O84" s="2083">
        <v>0</v>
      </c>
      <c r="P84" s="2083"/>
      <c r="Q84" s="2083"/>
      <c r="R84" s="2083"/>
      <c r="S84" s="2083"/>
      <c r="T84" s="2083"/>
      <c r="U84" s="2083"/>
      <c r="V84" s="2083">
        <v>0</v>
      </c>
      <c r="W84" s="2083"/>
      <c r="X84" s="2083"/>
      <c r="Y84" s="2083"/>
      <c r="Z84" s="2083"/>
      <c r="AA84" s="2083"/>
      <c r="AB84" s="2083">
        <v>0</v>
      </c>
      <c r="AC84" s="2083"/>
      <c r="AD84" s="2083"/>
      <c r="AE84" s="2083"/>
      <c r="AF84" s="2083"/>
      <c r="AG84" s="2083"/>
      <c r="AH84" s="2084"/>
      <c r="AI84" s="1208"/>
      <c r="AJ84" s="2135"/>
      <c r="AK84" s="2136"/>
      <c r="AL84" s="2136"/>
      <c r="AM84" s="2136"/>
      <c r="AN84" s="2136"/>
      <c r="AO84" s="2136"/>
      <c r="AP84" s="2136"/>
      <c r="AQ84" s="2136"/>
      <c r="AR84" s="2136"/>
      <c r="AS84" s="2136"/>
      <c r="AT84" s="2136"/>
      <c r="AU84" s="2136"/>
      <c r="AV84" s="2136"/>
      <c r="AW84" s="2136"/>
      <c r="AX84" s="2136"/>
      <c r="AY84" s="2153"/>
      <c r="AZ84" s="2153"/>
      <c r="BA84" s="2153"/>
      <c r="BB84" s="2154"/>
      <c r="BC84" s="1208"/>
      <c r="BD84" s="1208"/>
      <c r="BE84" s="1215"/>
      <c r="CK84" s="1206"/>
      <c r="CL84" s="1206"/>
      <c r="CM84" s="1206"/>
      <c r="CN84" s="1206"/>
      <c r="CO84" s="1206"/>
      <c r="CP84" s="1206"/>
    </row>
    <row r="85" spans="1:94" ht="15.75" customHeight="1">
      <c r="A85" s="1208"/>
      <c r="B85" s="2113" t="s">
        <v>2309</v>
      </c>
      <c r="C85" s="2107"/>
      <c r="D85" s="2107"/>
      <c r="E85" s="2107"/>
      <c r="F85" s="2107"/>
      <c r="G85" s="2107"/>
      <c r="H85" s="2107"/>
      <c r="I85" s="2083">
        <v>0</v>
      </c>
      <c r="J85" s="2083"/>
      <c r="K85" s="2083"/>
      <c r="L85" s="2083"/>
      <c r="M85" s="2083"/>
      <c r="N85" s="2083"/>
      <c r="O85" s="2083">
        <v>0</v>
      </c>
      <c r="P85" s="2083"/>
      <c r="Q85" s="2083"/>
      <c r="R85" s="2083"/>
      <c r="S85" s="2083"/>
      <c r="T85" s="2083"/>
      <c r="U85" s="2083"/>
      <c r="V85" s="2083">
        <v>0</v>
      </c>
      <c r="W85" s="2083"/>
      <c r="X85" s="2083"/>
      <c r="Y85" s="2083"/>
      <c r="Z85" s="2083"/>
      <c r="AA85" s="2083"/>
      <c r="AB85" s="2083">
        <v>0</v>
      </c>
      <c r="AC85" s="2083"/>
      <c r="AD85" s="2083"/>
      <c r="AE85" s="2083"/>
      <c r="AF85" s="2083"/>
      <c r="AG85" s="2083"/>
      <c r="AH85" s="2084"/>
      <c r="AI85" s="1208"/>
      <c r="AJ85" s="2050" t="s">
        <v>2315</v>
      </c>
      <c r="AK85" s="2051"/>
      <c r="AL85" s="2051"/>
      <c r="AM85" s="2051"/>
      <c r="AN85" s="2051"/>
      <c r="AO85" s="2051"/>
      <c r="AP85" s="2051"/>
      <c r="AQ85" s="2051"/>
      <c r="AR85" s="2051"/>
      <c r="AS85" s="2051"/>
      <c r="AT85" s="2051"/>
      <c r="AU85" s="2051"/>
      <c r="AV85" s="2051"/>
      <c r="AW85" s="2051"/>
      <c r="AX85" s="2051"/>
      <c r="AY85" s="2051"/>
      <c r="AZ85" s="2051"/>
      <c r="BA85" s="2051"/>
      <c r="BB85" s="2052"/>
      <c r="BC85" s="1208"/>
      <c r="BD85" s="1208"/>
      <c r="BE85" s="1215"/>
      <c r="CK85" s="1206"/>
      <c r="CL85" s="1206"/>
      <c r="CM85" s="1206"/>
      <c r="CN85" s="1206"/>
      <c r="CO85" s="1206"/>
      <c r="CP85" s="1206"/>
    </row>
    <row r="86" spans="1:94" ht="15.75" customHeight="1" thickBot="1">
      <c r="A86" s="1208"/>
      <c r="B86" s="2141" t="s">
        <v>2308</v>
      </c>
      <c r="C86" s="2142"/>
      <c r="D86" s="2142"/>
      <c r="E86" s="2142"/>
      <c r="F86" s="2142"/>
      <c r="G86" s="2142"/>
      <c r="H86" s="2142"/>
      <c r="I86" s="2077">
        <v>0</v>
      </c>
      <c r="J86" s="2077"/>
      <c r="K86" s="2077"/>
      <c r="L86" s="2077"/>
      <c r="M86" s="2077"/>
      <c r="N86" s="2077"/>
      <c r="O86" s="2077">
        <v>0</v>
      </c>
      <c r="P86" s="2077"/>
      <c r="Q86" s="2077"/>
      <c r="R86" s="2077"/>
      <c r="S86" s="2077"/>
      <c r="T86" s="2077"/>
      <c r="U86" s="2077"/>
      <c r="V86" s="2077">
        <v>0</v>
      </c>
      <c r="W86" s="2077"/>
      <c r="X86" s="2077"/>
      <c r="Y86" s="2077"/>
      <c r="Z86" s="2077"/>
      <c r="AA86" s="2077"/>
      <c r="AB86" s="2077">
        <v>0</v>
      </c>
      <c r="AC86" s="2077"/>
      <c r="AD86" s="2077"/>
      <c r="AE86" s="2077"/>
      <c r="AF86" s="2077"/>
      <c r="AG86" s="2077"/>
      <c r="AH86" s="2078"/>
      <c r="AI86" s="1208"/>
      <c r="AJ86" s="2053"/>
      <c r="AK86" s="2054"/>
      <c r="AL86" s="2054"/>
      <c r="AM86" s="2054"/>
      <c r="AN86" s="2054"/>
      <c r="AO86" s="2054"/>
      <c r="AP86" s="2054"/>
      <c r="AQ86" s="2054"/>
      <c r="AR86" s="2054"/>
      <c r="AS86" s="2054"/>
      <c r="AT86" s="2054"/>
      <c r="AU86" s="2054"/>
      <c r="AV86" s="2054"/>
      <c r="AW86" s="2054"/>
      <c r="AX86" s="2054"/>
      <c r="AY86" s="2054"/>
      <c r="AZ86" s="2054"/>
      <c r="BA86" s="2054"/>
      <c r="BB86" s="2055"/>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145"/>
      <c r="G90" s="2146"/>
      <c r="H90" s="2146"/>
      <c r="I90" s="2146"/>
      <c r="J90" s="2146"/>
      <c r="K90" s="2146"/>
      <c r="L90" s="2146"/>
      <c r="M90" s="2146"/>
      <c r="N90" s="2146"/>
      <c r="O90" s="2146"/>
      <c r="P90" s="2146"/>
      <c r="Q90" s="2146"/>
      <c r="R90" s="2146"/>
      <c r="S90" s="2146"/>
      <c r="T90" s="2147"/>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8" t="s">
        <v>2316</v>
      </c>
      <c r="C92" s="2149"/>
      <c r="D92" s="2149"/>
      <c r="E92" s="2149"/>
      <c r="F92" s="2149"/>
      <c r="G92" s="2149"/>
      <c r="H92" s="2149"/>
      <c r="I92" s="2149"/>
      <c r="J92" s="2149"/>
      <c r="K92" s="2149"/>
      <c r="L92" s="2149"/>
      <c r="M92" s="2149"/>
      <c r="N92" s="2149"/>
      <c r="O92" s="2149"/>
      <c r="P92" s="2149"/>
      <c r="Q92" s="2149"/>
      <c r="R92" s="2149"/>
      <c r="S92" s="2149"/>
      <c r="T92" s="2149"/>
      <c r="U92" s="2149"/>
      <c r="V92" s="2149"/>
      <c r="W92" s="2149"/>
      <c r="X92" s="2149"/>
      <c r="Y92" s="2149"/>
      <c r="Z92" s="2149"/>
      <c r="AA92" s="2149"/>
      <c r="AB92" s="2149"/>
      <c r="AC92" s="2149"/>
      <c r="AD92" s="2149"/>
      <c r="AE92" s="2149"/>
      <c r="AF92" s="2149"/>
      <c r="AG92" s="2149"/>
      <c r="AH92" s="2150"/>
      <c r="AI92" s="1208"/>
      <c r="AJ92" s="2132" t="s">
        <v>2625</v>
      </c>
      <c r="AK92" s="2133"/>
      <c r="AL92" s="2133"/>
      <c r="AM92" s="2133"/>
      <c r="AN92" s="2133"/>
      <c r="AO92" s="2133"/>
      <c r="AP92" s="2133"/>
      <c r="AQ92" s="2133"/>
      <c r="AR92" s="2133"/>
      <c r="AS92" s="2133"/>
      <c r="AT92" s="2133"/>
      <c r="AU92" s="2133"/>
      <c r="AV92" s="2133"/>
      <c r="AW92" s="2133"/>
      <c r="AX92" s="2133"/>
      <c r="AY92" s="2151" t="s">
        <v>545</v>
      </c>
      <c r="AZ92" s="2151"/>
      <c r="BA92" s="2151"/>
      <c r="BB92" s="2152"/>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3"/>
      <c r="C93" s="2107"/>
      <c r="D93" s="2107"/>
      <c r="E93" s="2107"/>
      <c r="F93" s="2107"/>
      <c r="G93" s="2107"/>
      <c r="H93" s="2107"/>
      <c r="I93" s="2107" t="s">
        <v>2312</v>
      </c>
      <c r="J93" s="2107"/>
      <c r="K93" s="2107"/>
      <c r="L93" s="2107"/>
      <c r="M93" s="2107"/>
      <c r="N93" s="2107"/>
      <c r="O93" s="2107" t="s">
        <v>2289</v>
      </c>
      <c r="P93" s="2107"/>
      <c r="Q93" s="2107"/>
      <c r="R93" s="2107"/>
      <c r="S93" s="2107"/>
      <c r="T93" s="2107"/>
      <c r="U93" s="2107"/>
      <c r="V93" s="2143" t="s">
        <v>2288</v>
      </c>
      <c r="W93" s="2143"/>
      <c r="X93" s="2143"/>
      <c r="Y93" s="2143"/>
      <c r="Z93" s="2143"/>
      <c r="AA93" s="2143"/>
      <c r="AB93" s="2080" t="s">
        <v>2311</v>
      </c>
      <c r="AC93" s="2080"/>
      <c r="AD93" s="2080"/>
      <c r="AE93" s="2080"/>
      <c r="AF93" s="2080"/>
      <c r="AG93" s="2080"/>
      <c r="AH93" s="2144"/>
      <c r="AI93" s="1208"/>
      <c r="AJ93" s="2135"/>
      <c r="AK93" s="2136"/>
      <c r="AL93" s="2136"/>
      <c r="AM93" s="2136"/>
      <c r="AN93" s="2136"/>
      <c r="AO93" s="2136"/>
      <c r="AP93" s="2136"/>
      <c r="AQ93" s="2136"/>
      <c r="AR93" s="2136"/>
      <c r="AS93" s="2136"/>
      <c r="AT93" s="2136"/>
      <c r="AU93" s="2136"/>
      <c r="AV93" s="2136"/>
      <c r="AW93" s="2136"/>
      <c r="AX93" s="2136"/>
      <c r="AY93" s="2153"/>
      <c r="AZ93" s="2153"/>
      <c r="BA93" s="2153"/>
      <c r="BB93" s="2154"/>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3"/>
      <c r="C94" s="2107"/>
      <c r="D94" s="2107"/>
      <c r="E94" s="2107"/>
      <c r="F94" s="2107"/>
      <c r="G94" s="2107"/>
      <c r="H94" s="2107"/>
      <c r="I94" s="2107"/>
      <c r="J94" s="2107"/>
      <c r="K94" s="2107"/>
      <c r="L94" s="2107"/>
      <c r="M94" s="2107"/>
      <c r="N94" s="2107"/>
      <c r="O94" s="2107"/>
      <c r="P94" s="2107"/>
      <c r="Q94" s="2107"/>
      <c r="R94" s="2107"/>
      <c r="S94" s="2107"/>
      <c r="T94" s="2107"/>
      <c r="U94" s="2107"/>
      <c r="V94" s="2143"/>
      <c r="W94" s="2143"/>
      <c r="X94" s="2143"/>
      <c r="Y94" s="2143"/>
      <c r="Z94" s="2143"/>
      <c r="AA94" s="2143"/>
      <c r="AB94" s="2080"/>
      <c r="AC94" s="2080"/>
      <c r="AD94" s="2080"/>
      <c r="AE94" s="2080"/>
      <c r="AF94" s="2080"/>
      <c r="AG94" s="2080"/>
      <c r="AH94" s="2144"/>
      <c r="AI94" s="1208"/>
      <c r="AJ94" s="2135"/>
      <c r="AK94" s="2136"/>
      <c r="AL94" s="2136"/>
      <c r="AM94" s="2136"/>
      <c r="AN94" s="2136"/>
      <c r="AO94" s="2136"/>
      <c r="AP94" s="2136"/>
      <c r="AQ94" s="2136"/>
      <c r="AR94" s="2136"/>
      <c r="AS94" s="2136"/>
      <c r="AT94" s="2136"/>
      <c r="AU94" s="2136"/>
      <c r="AV94" s="2136"/>
      <c r="AW94" s="2136"/>
      <c r="AX94" s="2136"/>
      <c r="AY94" s="2153"/>
      <c r="AZ94" s="2153"/>
      <c r="BA94" s="2153"/>
      <c r="BB94" s="2154"/>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3" t="s">
        <v>2310</v>
      </c>
      <c r="C95" s="2107"/>
      <c r="D95" s="2107"/>
      <c r="E95" s="2107"/>
      <c r="F95" s="2107"/>
      <c r="G95" s="2107"/>
      <c r="H95" s="2107"/>
      <c r="I95" s="2083">
        <v>0</v>
      </c>
      <c r="J95" s="2083"/>
      <c r="K95" s="2083"/>
      <c r="L95" s="2083"/>
      <c r="M95" s="2083"/>
      <c r="N95" s="2083"/>
      <c r="O95" s="2083">
        <v>0</v>
      </c>
      <c r="P95" s="2083"/>
      <c r="Q95" s="2083"/>
      <c r="R95" s="2083"/>
      <c r="S95" s="2083"/>
      <c r="T95" s="2083"/>
      <c r="U95" s="2083"/>
      <c r="V95" s="2083">
        <v>0</v>
      </c>
      <c r="W95" s="2083"/>
      <c r="X95" s="2083"/>
      <c r="Y95" s="2083"/>
      <c r="Z95" s="2083"/>
      <c r="AA95" s="2083"/>
      <c r="AB95" s="2083">
        <v>0</v>
      </c>
      <c r="AC95" s="2083"/>
      <c r="AD95" s="2083"/>
      <c r="AE95" s="2083"/>
      <c r="AF95" s="2083"/>
      <c r="AG95" s="2083"/>
      <c r="AH95" s="2084"/>
      <c r="AI95" s="1208"/>
      <c r="AJ95" s="2135"/>
      <c r="AK95" s="2136"/>
      <c r="AL95" s="2136"/>
      <c r="AM95" s="2136"/>
      <c r="AN95" s="2136"/>
      <c r="AO95" s="2136"/>
      <c r="AP95" s="2136"/>
      <c r="AQ95" s="2136"/>
      <c r="AR95" s="2136"/>
      <c r="AS95" s="2136"/>
      <c r="AT95" s="2136"/>
      <c r="AU95" s="2136"/>
      <c r="AV95" s="2136"/>
      <c r="AW95" s="2136"/>
      <c r="AX95" s="2136"/>
      <c r="AY95" s="2153"/>
      <c r="AZ95" s="2153"/>
      <c r="BA95" s="2153"/>
      <c r="BB95" s="2154"/>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3" t="s">
        <v>2309</v>
      </c>
      <c r="C96" s="2107"/>
      <c r="D96" s="2107"/>
      <c r="E96" s="2107"/>
      <c r="F96" s="2107"/>
      <c r="G96" s="2107"/>
      <c r="H96" s="2107"/>
      <c r="I96" s="2083">
        <v>0</v>
      </c>
      <c r="J96" s="2083"/>
      <c r="K96" s="2083"/>
      <c r="L96" s="2083"/>
      <c r="M96" s="2083"/>
      <c r="N96" s="2083"/>
      <c r="O96" s="2083">
        <v>0</v>
      </c>
      <c r="P96" s="2083"/>
      <c r="Q96" s="2083"/>
      <c r="R96" s="2083"/>
      <c r="S96" s="2083"/>
      <c r="T96" s="2083"/>
      <c r="U96" s="2083"/>
      <c r="V96" s="2083">
        <v>0</v>
      </c>
      <c r="W96" s="2083"/>
      <c r="X96" s="2083"/>
      <c r="Y96" s="2083"/>
      <c r="Z96" s="2083"/>
      <c r="AA96" s="2083"/>
      <c r="AB96" s="2083">
        <v>0</v>
      </c>
      <c r="AC96" s="2083"/>
      <c r="AD96" s="2083"/>
      <c r="AE96" s="2083"/>
      <c r="AF96" s="2083"/>
      <c r="AG96" s="2083"/>
      <c r="AH96" s="2084"/>
      <c r="AI96" s="1208"/>
      <c r="AJ96" s="2050" t="s">
        <v>2315</v>
      </c>
      <c r="AK96" s="2051"/>
      <c r="AL96" s="2051"/>
      <c r="AM96" s="2051"/>
      <c r="AN96" s="2051"/>
      <c r="AO96" s="2051"/>
      <c r="AP96" s="2051"/>
      <c r="AQ96" s="2051"/>
      <c r="AR96" s="2051"/>
      <c r="AS96" s="2051"/>
      <c r="AT96" s="2051"/>
      <c r="AU96" s="2051"/>
      <c r="AV96" s="2051"/>
      <c r="AW96" s="2051"/>
      <c r="AX96" s="2051"/>
      <c r="AY96" s="2051"/>
      <c r="AZ96" s="2051"/>
      <c r="BA96" s="2051"/>
      <c r="BB96" s="2052"/>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1" t="s">
        <v>2308</v>
      </c>
      <c r="C97" s="2142"/>
      <c r="D97" s="2142"/>
      <c r="E97" s="2142"/>
      <c r="F97" s="2142"/>
      <c r="G97" s="2142"/>
      <c r="H97" s="2142"/>
      <c r="I97" s="2077">
        <v>0</v>
      </c>
      <c r="J97" s="2077"/>
      <c r="K97" s="2077"/>
      <c r="L97" s="2077"/>
      <c r="M97" s="2077"/>
      <c r="N97" s="2077"/>
      <c r="O97" s="2077">
        <v>0</v>
      </c>
      <c r="P97" s="2077"/>
      <c r="Q97" s="2077"/>
      <c r="R97" s="2077"/>
      <c r="S97" s="2077"/>
      <c r="T97" s="2077"/>
      <c r="U97" s="2077"/>
      <c r="V97" s="2077">
        <v>0</v>
      </c>
      <c r="W97" s="2077"/>
      <c r="X97" s="2077"/>
      <c r="Y97" s="2077"/>
      <c r="Z97" s="2077"/>
      <c r="AA97" s="2077"/>
      <c r="AB97" s="2077">
        <v>0</v>
      </c>
      <c r="AC97" s="2077"/>
      <c r="AD97" s="2077"/>
      <c r="AE97" s="2077"/>
      <c r="AF97" s="2077"/>
      <c r="AG97" s="2077"/>
      <c r="AH97" s="2078"/>
      <c r="AI97" s="1208"/>
      <c r="AJ97" s="2053"/>
      <c r="AK97" s="2054"/>
      <c r="AL97" s="2054"/>
      <c r="AM97" s="2054"/>
      <c r="AN97" s="2054"/>
      <c r="AO97" s="2054"/>
      <c r="AP97" s="2054"/>
      <c r="AQ97" s="2054"/>
      <c r="AR97" s="2054"/>
      <c r="AS97" s="2054"/>
      <c r="AT97" s="2054"/>
      <c r="AU97" s="2054"/>
      <c r="AV97" s="2054"/>
      <c r="AW97" s="2054"/>
      <c r="AX97" s="2054"/>
      <c r="AY97" s="2054"/>
      <c r="AZ97" s="2054"/>
      <c r="BA97" s="2054"/>
      <c r="BB97" s="2055"/>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104"/>
      <c r="G100" s="2105"/>
      <c r="H100" s="2105"/>
      <c r="I100" s="2105"/>
      <c r="J100" s="2105"/>
      <c r="K100" s="2105"/>
      <c r="L100" s="2105"/>
      <c r="M100" s="2105"/>
      <c r="N100" s="2105"/>
      <c r="O100" s="2105"/>
      <c r="P100" s="2105"/>
      <c r="Q100" s="2105"/>
      <c r="R100" s="2106"/>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3" t="s">
        <v>2313</v>
      </c>
      <c r="C102" s="2034"/>
      <c r="D102" s="2034"/>
      <c r="E102" s="2034"/>
      <c r="F102" s="2034"/>
      <c r="G102" s="2034"/>
      <c r="H102" s="2034"/>
      <c r="I102" s="2034"/>
      <c r="J102" s="2034"/>
      <c r="K102" s="2034"/>
      <c r="L102" s="2034"/>
      <c r="M102" s="2034"/>
      <c r="N102" s="2034"/>
      <c r="O102" s="2034"/>
      <c r="P102" s="2034"/>
      <c r="Q102" s="2034"/>
      <c r="R102" s="2034"/>
      <c r="S102" s="2034"/>
      <c r="T102" s="2034"/>
      <c r="U102" s="2034"/>
      <c r="V102" s="2034"/>
      <c r="W102" s="2034"/>
      <c r="X102" s="2034"/>
      <c r="Y102" s="2034"/>
      <c r="Z102" s="2034"/>
      <c r="AA102" s="2034"/>
      <c r="AB102" s="2034"/>
      <c r="AC102" s="2034"/>
      <c r="AD102" s="2034"/>
      <c r="AE102" s="2034"/>
      <c r="AF102" s="2034"/>
      <c r="AG102" s="2034"/>
      <c r="AH102" s="2043"/>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3"/>
      <c r="C103" s="2107"/>
      <c r="D103" s="2107"/>
      <c r="E103" s="2107"/>
      <c r="F103" s="2107"/>
      <c r="G103" s="2107"/>
      <c r="H103" s="2107"/>
      <c r="I103" s="2107" t="s">
        <v>2312</v>
      </c>
      <c r="J103" s="2107"/>
      <c r="K103" s="2107"/>
      <c r="L103" s="2107"/>
      <c r="M103" s="2107"/>
      <c r="N103" s="2107"/>
      <c r="O103" s="2107" t="s">
        <v>2289</v>
      </c>
      <c r="P103" s="2107"/>
      <c r="Q103" s="2107"/>
      <c r="R103" s="2107"/>
      <c r="S103" s="2107"/>
      <c r="T103" s="2107"/>
      <c r="U103" s="2107"/>
      <c r="V103" s="2143" t="s">
        <v>2288</v>
      </c>
      <c r="W103" s="2143"/>
      <c r="X103" s="2143"/>
      <c r="Y103" s="2143"/>
      <c r="Z103" s="2143"/>
      <c r="AA103" s="2143"/>
      <c r="AB103" s="2080" t="s">
        <v>2311</v>
      </c>
      <c r="AC103" s="2080"/>
      <c r="AD103" s="2080"/>
      <c r="AE103" s="2080"/>
      <c r="AF103" s="2080"/>
      <c r="AG103" s="2080"/>
      <c r="AH103" s="2144"/>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3"/>
      <c r="C104" s="2107"/>
      <c r="D104" s="2107"/>
      <c r="E104" s="2107"/>
      <c r="F104" s="2107"/>
      <c r="G104" s="2107"/>
      <c r="H104" s="2107"/>
      <c r="I104" s="2107"/>
      <c r="J104" s="2107"/>
      <c r="K104" s="2107"/>
      <c r="L104" s="2107"/>
      <c r="M104" s="2107"/>
      <c r="N104" s="2107"/>
      <c r="O104" s="2107"/>
      <c r="P104" s="2107"/>
      <c r="Q104" s="2107"/>
      <c r="R104" s="2107"/>
      <c r="S104" s="2107"/>
      <c r="T104" s="2107"/>
      <c r="U104" s="2107"/>
      <c r="V104" s="2143"/>
      <c r="W104" s="2143"/>
      <c r="X104" s="2143"/>
      <c r="Y104" s="2143"/>
      <c r="Z104" s="2143"/>
      <c r="AA104" s="2143"/>
      <c r="AB104" s="2080"/>
      <c r="AC104" s="2080"/>
      <c r="AD104" s="2080"/>
      <c r="AE104" s="2080"/>
      <c r="AF104" s="2080"/>
      <c r="AG104" s="2080"/>
      <c r="AH104" s="2144"/>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3" t="s">
        <v>2310</v>
      </c>
      <c r="C105" s="2107"/>
      <c r="D105" s="2107"/>
      <c r="E105" s="2107"/>
      <c r="F105" s="2107"/>
      <c r="G105" s="2107"/>
      <c r="H105" s="2107"/>
      <c r="I105" s="2083">
        <v>0</v>
      </c>
      <c r="J105" s="2083"/>
      <c r="K105" s="2083"/>
      <c r="L105" s="2083"/>
      <c r="M105" s="2083"/>
      <c r="N105" s="2083"/>
      <c r="O105" s="2083">
        <v>0</v>
      </c>
      <c r="P105" s="2083"/>
      <c r="Q105" s="2083"/>
      <c r="R105" s="2083"/>
      <c r="S105" s="2083"/>
      <c r="T105" s="2083"/>
      <c r="U105" s="2083"/>
      <c r="V105" s="2083">
        <v>0</v>
      </c>
      <c r="W105" s="2083"/>
      <c r="X105" s="2083"/>
      <c r="Y105" s="2083"/>
      <c r="Z105" s="2083"/>
      <c r="AA105" s="2083"/>
      <c r="AB105" s="2083">
        <v>0</v>
      </c>
      <c r="AC105" s="2083"/>
      <c r="AD105" s="2083"/>
      <c r="AE105" s="2083"/>
      <c r="AF105" s="2083"/>
      <c r="AG105" s="2083"/>
      <c r="AH105" s="2084"/>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3" t="s">
        <v>2309</v>
      </c>
      <c r="C106" s="2107"/>
      <c r="D106" s="2107"/>
      <c r="E106" s="2107"/>
      <c r="F106" s="2107"/>
      <c r="G106" s="2107"/>
      <c r="H106" s="2107"/>
      <c r="I106" s="2083">
        <v>0</v>
      </c>
      <c r="J106" s="2083"/>
      <c r="K106" s="2083"/>
      <c r="L106" s="2083"/>
      <c r="M106" s="2083"/>
      <c r="N106" s="2083"/>
      <c r="O106" s="2083">
        <v>0</v>
      </c>
      <c r="P106" s="2083"/>
      <c r="Q106" s="2083"/>
      <c r="R106" s="2083"/>
      <c r="S106" s="2083"/>
      <c r="T106" s="2083"/>
      <c r="U106" s="2083"/>
      <c r="V106" s="2083">
        <v>0</v>
      </c>
      <c r="W106" s="2083"/>
      <c r="X106" s="2083"/>
      <c r="Y106" s="2083"/>
      <c r="Z106" s="2083"/>
      <c r="AA106" s="2083"/>
      <c r="AB106" s="2083">
        <v>0</v>
      </c>
      <c r="AC106" s="2083"/>
      <c r="AD106" s="2083"/>
      <c r="AE106" s="2083"/>
      <c r="AF106" s="2083"/>
      <c r="AG106" s="2083"/>
      <c r="AH106" s="2084"/>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1" t="s">
        <v>2308</v>
      </c>
      <c r="C107" s="2142"/>
      <c r="D107" s="2142"/>
      <c r="E107" s="2142"/>
      <c r="F107" s="2142"/>
      <c r="G107" s="2142"/>
      <c r="H107" s="2142"/>
      <c r="I107" s="2077">
        <v>0</v>
      </c>
      <c r="J107" s="2077"/>
      <c r="K107" s="2077"/>
      <c r="L107" s="2077"/>
      <c r="M107" s="2077"/>
      <c r="N107" s="2077"/>
      <c r="O107" s="2077">
        <v>0</v>
      </c>
      <c r="P107" s="2077"/>
      <c r="Q107" s="2077"/>
      <c r="R107" s="2077"/>
      <c r="S107" s="2077"/>
      <c r="T107" s="2077"/>
      <c r="U107" s="2077"/>
      <c r="V107" s="2077">
        <v>0</v>
      </c>
      <c r="W107" s="2077"/>
      <c r="X107" s="2077"/>
      <c r="Y107" s="2077"/>
      <c r="Z107" s="2077"/>
      <c r="AA107" s="2077"/>
      <c r="AB107" s="2077">
        <v>0</v>
      </c>
      <c r="AC107" s="2077"/>
      <c r="AD107" s="2077"/>
      <c r="AE107" s="2077"/>
      <c r="AF107" s="2077"/>
      <c r="AG107" s="2077"/>
      <c r="AH107" s="2078"/>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104"/>
      <c r="G110" s="2105"/>
      <c r="H110" s="2105"/>
      <c r="I110" s="2105"/>
      <c r="J110" s="2105"/>
      <c r="K110" s="2105"/>
      <c r="L110" s="2105"/>
      <c r="M110" s="2105"/>
      <c r="N110" s="2105"/>
      <c r="O110" s="2105"/>
      <c r="P110" s="2105"/>
      <c r="Q110" s="2105"/>
      <c r="R110" s="2106"/>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4" t="s">
        <v>2626</v>
      </c>
      <c r="C112" s="2115"/>
      <c r="D112" s="2115"/>
      <c r="E112" s="2115"/>
      <c r="F112" s="2115"/>
      <c r="G112" s="2115"/>
      <c r="H112" s="2115"/>
      <c r="I112" s="2115"/>
      <c r="J112" s="2115"/>
      <c r="K112" s="2115"/>
      <c r="L112" s="2115"/>
      <c r="M112" s="2115"/>
      <c r="N112" s="2115"/>
      <c r="O112" s="2115"/>
      <c r="P112" s="2115"/>
      <c r="Q112" s="2115"/>
      <c r="R112" s="2115"/>
      <c r="S112" s="2115"/>
      <c r="T112" s="2115"/>
      <c r="U112" s="2118" t="s">
        <v>545</v>
      </c>
      <c r="V112" s="2118"/>
      <c r="W112" s="2118"/>
      <c r="X112" s="2119"/>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6"/>
      <c r="C113" s="2117"/>
      <c r="D113" s="2117"/>
      <c r="E113" s="2117"/>
      <c r="F113" s="2117"/>
      <c r="G113" s="2117"/>
      <c r="H113" s="2117"/>
      <c r="I113" s="2117"/>
      <c r="J113" s="2117"/>
      <c r="K113" s="2117"/>
      <c r="L113" s="2117"/>
      <c r="M113" s="2117"/>
      <c r="N113" s="2117"/>
      <c r="O113" s="2117"/>
      <c r="P113" s="2117"/>
      <c r="Q113" s="2117"/>
      <c r="R113" s="2117"/>
      <c r="S113" s="2117"/>
      <c r="T113" s="2117"/>
      <c r="U113" s="2120"/>
      <c r="V113" s="2120"/>
      <c r="W113" s="2120"/>
      <c r="X113" s="2121"/>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6"/>
      <c r="C114" s="2117"/>
      <c r="D114" s="2117"/>
      <c r="E114" s="2117"/>
      <c r="F114" s="2117"/>
      <c r="G114" s="2117"/>
      <c r="H114" s="2117"/>
      <c r="I114" s="2117"/>
      <c r="J114" s="2117"/>
      <c r="K114" s="2117"/>
      <c r="L114" s="2117"/>
      <c r="M114" s="2117"/>
      <c r="N114" s="2117"/>
      <c r="O114" s="2117"/>
      <c r="P114" s="2117"/>
      <c r="Q114" s="2117"/>
      <c r="R114" s="2117"/>
      <c r="S114" s="2117"/>
      <c r="T114" s="2117"/>
      <c r="U114" s="2120"/>
      <c r="V114" s="2120"/>
      <c r="W114" s="2120"/>
      <c r="X114" s="2121"/>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6"/>
      <c r="C115" s="2117"/>
      <c r="D115" s="2117"/>
      <c r="E115" s="2117"/>
      <c r="F115" s="2117"/>
      <c r="G115" s="2117"/>
      <c r="H115" s="2117"/>
      <c r="I115" s="2117"/>
      <c r="J115" s="2117"/>
      <c r="K115" s="2117"/>
      <c r="L115" s="2117"/>
      <c r="M115" s="2117"/>
      <c r="N115" s="2117"/>
      <c r="O115" s="2117"/>
      <c r="P115" s="2117"/>
      <c r="Q115" s="2117"/>
      <c r="R115" s="2117"/>
      <c r="S115" s="2117"/>
      <c r="T115" s="2117"/>
      <c r="U115" s="2120"/>
      <c r="V115" s="2120"/>
      <c r="W115" s="2120"/>
      <c r="X115" s="2121"/>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2" t="s">
        <v>2626</v>
      </c>
      <c r="C116" s="2123"/>
      <c r="D116" s="2123"/>
      <c r="E116" s="2123"/>
      <c r="F116" s="2123"/>
      <c r="G116" s="2123"/>
      <c r="H116" s="2123"/>
      <c r="I116" s="2123"/>
      <c r="J116" s="2123"/>
      <c r="K116" s="2123"/>
      <c r="L116" s="2123"/>
      <c r="M116" s="2123"/>
      <c r="N116" s="2123"/>
      <c r="O116" s="2123"/>
      <c r="P116" s="2123"/>
      <c r="Q116" s="2123"/>
      <c r="R116" s="2123"/>
      <c r="S116" s="2123"/>
      <c r="T116" s="2123"/>
      <c r="U116" s="2126" t="s">
        <v>545</v>
      </c>
      <c r="V116" s="2126"/>
      <c r="W116" s="2126"/>
      <c r="X116" s="2127"/>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4"/>
      <c r="C117" s="2125"/>
      <c r="D117" s="2125"/>
      <c r="E117" s="2125"/>
      <c r="F117" s="2125"/>
      <c r="G117" s="2125"/>
      <c r="H117" s="2125"/>
      <c r="I117" s="2125"/>
      <c r="J117" s="2125"/>
      <c r="K117" s="2125"/>
      <c r="L117" s="2125"/>
      <c r="M117" s="2125"/>
      <c r="N117" s="2125"/>
      <c r="O117" s="2125"/>
      <c r="P117" s="2125"/>
      <c r="Q117" s="2125"/>
      <c r="R117" s="2125"/>
      <c r="S117" s="2125"/>
      <c r="T117" s="2125"/>
      <c r="U117" s="2128"/>
      <c r="V117" s="2128"/>
      <c r="W117" s="2128"/>
      <c r="X117" s="2129"/>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2" t="s">
        <v>2305</v>
      </c>
      <c r="Y120" s="2133"/>
      <c r="Z120" s="2133"/>
      <c r="AA120" s="2133"/>
      <c r="AB120" s="2133"/>
      <c r="AC120" s="2133"/>
      <c r="AD120" s="2133"/>
      <c r="AE120" s="2133"/>
      <c r="AF120" s="2133"/>
      <c r="AG120" s="2133"/>
      <c r="AH120" s="2133"/>
      <c r="AI120" s="2133"/>
      <c r="AJ120" s="2133"/>
      <c r="AK120" s="2133"/>
      <c r="AL120" s="2133"/>
      <c r="AM120" s="2133"/>
      <c r="AN120" s="2133"/>
      <c r="AO120" s="2133"/>
      <c r="AP120" s="2133"/>
      <c r="AQ120" s="2133"/>
      <c r="AR120" s="2133"/>
      <c r="AS120" s="2133"/>
      <c r="AT120" s="2133"/>
      <c r="AU120" s="2133"/>
      <c r="AV120" s="2133"/>
      <c r="AW120" s="2133"/>
      <c r="AX120" s="2133"/>
      <c r="AY120" s="2133"/>
      <c r="AZ120" s="2133"/>
      <c r="BA120" s="2133"/>
      <c r="BB120" s="2133"/>
      <c r="BC120" s="2133"/>
      <c r="BD120" s="2134"/>
      <c r="BE120" s="1215"/>
    </row>
    <row r="121" spans="1:57" ht="15.75" customHeight="1">
      <c r="A121" s="1208"/>
      <c r="B121" s="2138" t="s">
        <v>1565</v>
      </c>
      <c r="C121" s="2139"/>
      <c r="D121" s="2139"/>
      <c r="E121" s="2139"/>
      <c r="F121" s="2139"/>
      <c r="G121" s="2139"/>
      <c r="H121" s="2139"/>
      <c r="I121" s="2139"/>
      <c r="J121" s="2139"/>
      <c r="K121" s="2139"/>
      <c r="L121" s="2139"/>
      <c r="M121" s="2139"/>
      <c r="N121" s="2139"/>
      <c r="O121" s="2139"/>
      <c r="P121" s="2139"/>
      <c r="Q121" s="2139"/>
      <c r="R121" s="2139"/>
      <c r="S121" s="2139"/>
      <c r="T121" s="2139"/>
      <c r="U121" s="2140"/>
      <c r="V121" s="1208"/>
      <c r="W121" s="1208"/>
      <c r="X121" s="2135"/>
      <c r="Y121" s="2136"/>
      <c r="Z121" s="2136"/>
      <c r="AA121" s="2136"/>
      <c r="AB121" s="2136"/>
      <c r="AC121" s="2136"/>
      <c r="AD121" s="2136"/>
      <c r="AE121" s="2136"/>
      <c r="AF121" s="2136"/>
      <c r="AG121" s="2136"/>
      <c r="AH121" s="2136"/>
      <c r="AI121" s="2136"/>
      <c r="AJ121" s="2136"/>
      <c r="AK121" s="2136"/>
      <c r="AL121" s="2136"/>
      <c r="AM121" s="2136"/>
      <c r="AN121" s="2136"/>
      <c r="AO121" s="2136"/>
      <c r="AP121" s="2136"/>
      <c r="AQ121" s="2136"/>
      <c r="AR121" s="2136"/>
      <c r="AS121" s="2136"/>
      <c r="AT121" s="2136"/>
      <c r="AU121" s="2136"/>
      <c r="AV121" s="2136"/>
      <c r="AW121" s="2136"/>
      <c r="AX121" s="2136"/>
      <c r="AY121" s="2136"/>
      <c r="AZ121" s="2136"/>
      <c r="BA121" s="2136"/>
      <c r="BB121" s="2136"/>
      <c r="BC121" s="2136"/>
      <c r="BD121" s="2137"/>
      <c r="BE121" s="1215"/>
    </row>
    <row r="122" spans="1:57" ht="15.75" customHeight="1">
      <c r="A122" s="1208"/>
      <c r="B122" s="2047"/>
      <c r="C122" s="2048"/>
      <c r="D122" s="2048"/>
      <c r="E122" s="2048"/>
      <c r="F122" s="2048"/>
      <c r="G122" s="2048"/>
      <c r="H122" s="2048"/>
      <c r="I122" s="2107" t="s">
        <v>2304</v>
      </c>
      <c r="J122" s="2107"/>
      <c r="K122" s="2107"/>
      <c r="L122" s="2107"/>
      <c r="M122" s="2107"/>
      <c r="N122" s="2107"/>
      <c r="O122" s="2108" t="s">
        <v>2303</v>
      </c>
      <c r="P122" s="2108"/>
      <c r="Q122" s="2108"/>
      <c r="R122" s="2108"/>
      <c r="S122" s="2108"/>
      <c r="T122" s="2108"/>
      <c r="U122" s="2109"/>
      <c r="V122" s="1208"/>
      <c r="W122" s="1208"/>
      <c r="X122" s="2050" t="s">
        <v>2273</v>
      </c>
      <c r="Y122" s="2051"/>
      <c r="Z122" s="2051"/>
      <c r="AA122" s="2051"/>
      <c r="AB122" s="2051"/>
      <c r="AC122" s="2051"/>
      <c r="AD122" s="2051"/>
      <c r="AE122" s="2051"/>
      <c r="AF122" s="2051"/>
      <c r="AG122" s="2051"/>
      <c r="AH122" s="2051"/>
      <c r="AI122" s="2051"/>
      <c r="AJ122" s="2051"/>
      <c r="AK122" s="2051"/>
      <c r="AL122" s="2051"/>
      <c r="AM122" s="2051"/>
      <c r="AN122" s="2051"/>
      <c r="AO122" s="2051"/>
      <c r="AP122" s="2051"/>
      <c r="AQ122" s="2051"/>
      <c r="AR122" s="2051"/>
      <c r="AS122" s="2051"/>
      <c r="AT122" s="2051"/>
      <c r="AU122" s="2051"/>
      <c r="AV122" s="2051"/>
      <c r="AW122" s="2051"/>
      <c r="AX122" s="2051"/>
      <c r="AY122" s="2051"/>
      <c r="AZ122" s="2051"/>
      <c r="BA122" s="2051"/>
      <c r="BB122" s="2051"/>
      <c r="BC122" s="2051"/>
      <c r="BD122" s="2052"/>
      <c r="BE122" s="1215"/>
    </row>
    <row r="123" spans="1:57" ht="15.75" customHeight="1">
      <c r="A123" s="1208"/>
      <c r="B123" s="2081" t="s">
        <v>2287</v>
      </c>
      <c r="C123" s="2082"/>
      <c r="D123" s="2082"/>
      <c r="E123" s="2082"/>
      <c r="F123" s="2082"/>
      <c r="G123" s="2082"/>
      <c r="H123" s="2082"/>
      <c r="I123" s="2083">
        <v>0</v>
      </c>
      <c r="J123" s="2083"/>
      <c r="K123" s="2083"/>
      <c r="L123" s="2083"/>
      <c r="M123" s="2083"/>
      <c r="N123" s="2083"/>
      <c r="O123" s="2083">
        <v>0</v>
      </c>
      <c r="P123" s="2083"/>
      <c r="Q123" s="2083"/>
      <c r="R123" s="2083"/>
      <c r="S123" s="2083"/>
      <c r="T123" s="2083"/>
      <c r="U123" s="2084"/>
      <c r="V123" s="1208"/>
      <c r="W123" s="1208"/>
      <c r="X123" s="2050"/>
      <c r="Y123" s="2051"/>
      <c r="Z123" s="2051"/>
      <c r="AA123" s="2051"/>
      <c r="AB123" s="2051"/>
      <c r="AC123" s="2051"/>
      <c r="AD123" s="2051"/>
      <c r="AE123" s="2051"/>
      <c r="AF123" s="2051"/>
      <c r="AG123" s="2051"/>
      <c r="AH123" s="2051"/>
      <c r="AI123" s="2051"/>
      <c r="AJ123" s="2051"/>
      <c r="AK123" s="2051"/>
      <c r="AL123" s="2051"/>
      <c r="AM123" s="2051"/>
      <c r="AN123" s="2051"/>
      <c r="AO123" s="2051"/>
      <c r="AP123" s="2051"/>
      <c r="AQ123" s="2051"/>
      <c r="AR123" s="2051"/>
      <c r="AS123" s="2051"/>
      <c r="AT123" s="2051"/>
      <c r="AU123" s="2051"/>
      <c r="AV123" s="2051"/>
      <c r="AW123" s="2051"/>
      <c r="AX123" s="2051"/>
      <c r="AY123" s="2051"/>
      <c r="AZ123" s="2051"/>
      <c r="BA123" s="2051"/>
      <c r="BB123" s="2051"/>
      <c r="BC123" s="2051"/>
      <c r="BD123" s="2052"/>
      <c r="BE123" s="1215"/>
    </row>
    <row r="124" spans="1:57" ht="15.75" customHeight="1" thickBot="1">
      <c r="A124" s="1208"/>
      <c r="B124" s="2075" t="s">
        <v>2286</v>
      </c>
      <c r="C124" s="2076"/>
      <c r="D124" s="2076"/>
      <c r="E124" s="2076"/>
      <c r="F124" s="2076"/>
      <c r="G124" s="2076"/>
      <c r="H124" s="2076"/>
      <c r="I124" s="2077">
        <v>0</v>
      </c>
      <c r="J124" s="2077"/>
      <c r="K124" s="2077"/>
      <c r="L124" s="2077"/>
      <c r="M124" s="2077"/>
      <c r="N124" s="2077"/>
      <c r="O124" s="2130"/>
      <c r="P124" s="2130"/>
      <c r="Q124" s="2130"/>
      <c r="R124" s="2130"/>
      <c r="S124" s="2130"/>
      <c r="T124" s="2130"/>
      <c r="U124" s="2131"/>
      <c r="V124" s="1208"/>
      <c r="W124" s="1208"/>
      <c r="X124" s="2050"/>
      <c r="Y124" s="2051"/>
      <c r="Z124" s="2051"/>
      <c r="AA124" s="2051"/>
      <c r="AB124" s="2051"/>
      <c r="AC124" s="2051"/>
      <c r="AD124" s="2051"/>
      <c r="AE124" s="2051"/>
      <c r="AF124" s="2051"/>
      <c r="AG124" s="2051"/>
      <c r="AH124" s="2051"/>
      <c r="AI124" s="2051"/>
      <c r="AJ124" s="2051"/>
      <c r="AK124" s="2051"/>
      <c r="AL124" s="2051"/>
      <c r="AM124" s="2051"/>
      <c r="AN124" s="2051"/>
      <c r="AO124" s="2051"/>
      <c r="AP124" s="2051"/>
      <c r="AQ124" s="2051"/>
      <c r="AR124" s="2051"/>
      <c r="AS124" s="2051"/>
      <c r="AT124" s="2051"/>
      <c r="AU124" s="2051"/>
      <c r="AV124" s="2051"/>
      <c r="AW124" s="2051"/>
      <c r="AX124" s="2051"/>
      <c r="AY124" s="2051"/>
      <c r="AZ124" s="2051"/>
      <c r="BA124" s="2051"/>
      <c r="BB124" s="2051"/>
      <c r="BC124" s="2051"/>
      <c r="BD124" s="2052"/>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0"/>
      <c r="Y125" s="2051"/>
      <c r="Z125" s="2051"/>
      <c r="AA125" s="2051"/>
      <c r="AB125" s="2051"/>
      <c r="AC125" s="2051"/>
      <c r="AD125" s="2051"/>
      <c r="AE125" s="2051"/>
      <c r="AF125" s="2051"/>
      <c r="AG125" s="2051"/>
      <c r="AH125" s="2051"/>
      <c r="AI125" s="2051"/>
      <c r="AJ125" s="2051"/>
      <c r="AK125" s="2051"/>
      <c r="AL125" s="2051"/>
      <c r="AM125" s="2051"/>
      <c r="AN125" s="2051"/>
      <c r="AO125" s="2051"/>
      <c r="AP125" s="2051"/>
      <c r="AQ125" s="2051"/>
      <c r="AR125" s="2051"/>
      <c r="AS125" s="2051"/>
      <c r="AT125" s="2051"/>
      <c r="AU125" s="2051"/>
      <c r="AV125" s="2051"/>
      <c r="AW125" s="2051"/>
      <c r="AX125" s="2051"/>
      <c r="AY125" s="2051"/>
      <c r="AZ125" s="2051"/>
      <c r="BA125" s="2051"/>
      <c r="BB125" s="2051"/>
      <c r="BC125" s="2051"/>
      <c r="BD125" s="2052"/>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50"/>
      <c r="Y126" s="2051"/>
      <c r="Z126" s="2051"/>
      <c r="AA126" s="2051"/>
      <c r="AB126" s="2051"/>
      <c r="AC126" s="2051"/>
      <c r="AD126" s="2051"/>
      <c r="AE126" s="2051"/>
      <c r="AF126" s="2051"/>
      <c r="AG126" s="2051"/>
      <c r="AH126" s="2051"/>
      <c r="AI126" s="2051"/>
      <c r="AJ126" s="2051"/>
      <c r="AK126" s="2051"/>
      <c r="AL126" s="2051"/>
      <c r="AM126" s="2051"/>
      <c r="AN126" s="2051"/>
      <c r="AO126" s="2051"/>
      <c r="AP126" s="2051"/>
      <c r="AQ126" s="2051"/>
      <c r="AR126" s="2051"/>
      <c r="AS126" s="2051"/>
      <c r="AT126" s="2051"/>
      <c r="AU126" s="2051"/>
      <c r="AV126" s="2051"/>
      <c r="AW126" s="2051"/>
      <c r="AX126" s="2051"/>
      <c r="AY126" s="2051"/>
      <c r="AZ126" s="2051"/>
      <c r="BA126" s="2051"/>
      <c r="BB126" s="2051"/>
      <c r="BC126" s="2051"/>
      <c r="BD126" s="2052"/>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0"/>
      <c r="Y127" s="2051"/>
      <c r="Z127" s="2051"/>
      <c r="AA127" s="2051"/>
      <c r="AB127" s="2051"/>
      <c r="AC127" s="2051"/>
      <c r="AD127" s="2051"/>
      <c r="AE127" s="2051"/>
      <c r="AF127" s="2051"/>
      <c r="AG127" s="2051"/>
      <c r="AH127" s="2051"/>
      <c r="AI127" s="2051"/>
      <c r="AJ127" s="2051"/>
      <c r="AK127" s="2051"/>
      <c r="AL127" s="2051"/>
      <c r="AM127" s="2051"/>
      <c r="AN127" s="2051"/>
      <c r="AO127" s="2051"/>
      <c r="AP127" s="2051"/>
      <c r="AQ127" s="2051"/>
      <c r="AR127" s="2051"/>
      <c r="AS127" s="2051"/>
      <c r="AT127" s="2051"/>
      <c r="AU127" s="2051"/>
      <c r="AV127" s="2051"/>
      <c r="AW127" s="2051"/>
      <c r="AX127" s="2051"/>
      <c r="AY127" s="2051"/>
      <c r="AZ127" s="2051"/>
      <c r="BA127" s="2051"/>
      <c r="BB127" s="2051"/>
      <c r="BC127" s="2051"/>
      <c r="BD127" s="2052"/>
      <c r="BE127" s="1215"/>
    </row>
    <row r="128" spans="1:57" ht="15.75" customHeight="1">
      <c r="A128" s="1208"/>
      <c r="B128" s="2110" t="s">
        <v>2301</v>
      </c>
      <c r="C128" s="2111"/>
      <c r="D128" s="2111"/>
      <c r="E128" s="2111"/>
      <c r="F128" s="2111"/>
      <c r="G128" s="2111"/>
      <c r="H128" s="2111"/>
      <c r="I128" s="2111"/>
      <c r="J128" s="2111"/>
      <c r="K128" s="2111"/>
      <c r="L128" s="2111"/>
      <c r="M128" s="2111"/>
      <c r="N128" s="2111"/>
      <c r="O128" s="2111"/>
      <c r="P128" s="2111"/>
      <c r="Q128" s="2111"/>
      <c r="R128" s="2111"/>
      <c r="S128" s="2111"/>
      <c r="T128" s="2111"/>
      <c r="U128" s="2112"/>
      <c r="V128" s="1208"/>
      <c r="W128" s="1208"/>
      <c r="X128" s="2050"/>
      <c r="Y128" s="2051"/>
      <c r="Z128" s="2051"/>
      <c r="AA128" s="2051"/>
      <c r="AB128" s="2051"/>
      <c r="AC128" s="2051"/>
      <c r="AD128" s="2051"/>
      <c r="AE128" s="2051"/>
      <c r="AF128" s="2051"/>
      <c r="AG128" s="2051"/>
      <c r="AH128" s="2051"/>
      <c r="AI128" s="2051"/>
      <c r="AJ128" s="2051"/>
      <c r="AK128" s="2051"/>
      <c r="AL128" s="2051"/>
      <c r="AM128" s="2051"/>
      <c r="AN128" s="2051"/>
      <c r="AO128" s="2051"/>
      <c r="AP128" s="2051"/>
      <c r="AQ128" s="2051"/>
      <c r="AR128" s="2051"/>
      <c r="AS128" s="2051"/>
      <c r="AT128" s="2051"/>
      <c r="AU128" s="2051"/>
      <c r="AV128" s="2051"/>
      <c r="AW128" s="2051"/>
      <c r="AX128" s="2051"/>
      <c r="AY128" s="2051"/>
      <c r="AZ128" s="2051"/>
      <c r="BA128" s="2051"/>
      <c r="BB128" s="2051"/>
      <c r="BC128" s="2051"/>
      <c r="BD128" s="2052"/>
      <c r="BE128" s="1215"/>
    </row>
    <row r="129" spans="1:57" ht="15.75" customHeight="1">
      <c r="A129" s="1208"/>
      <c r="B129" s="2047"/>
      <c r="C129" s="2048"/>
      <c r="D129" s="2048"/>
      <c r="E129" s="2048"/>
      <c r="F129" s="2048"/>
      <c r="G129" s="2048"/>
      <c r="H129" s="2048"/>
      <c r="I129" s="2085" t="s">
        <v>2289</v>
      </c>
      <c r="J129" s="2085"/>
      <c r="K129" s="2085"/>
      <c r="L129" s="2085"/>
      <c r="M129" s="2085"/>
      <c r="N129" s="2085"/>
      <c r="O129" s="2085"/>
      <c r="P129" s="2085" t="s">
        <v>2288</v>
      </c>
      <c r="Q129" s="2085"/>
      <c r="R129" s="2085"/>
      <c r="S129" s="2085"/>
      <c r="T129" s="2085"/>
      <c r="U129" s="2086"/>
      <c r="V129" s="1208"/>
      <c r="W129" s="1208"/>
      <c r="X129" s="2050"/>
      <c r="Y129" s="2051"/>
      <c r="Z129" s="2051"/>
      <c r="AA129" s="2051"/>
      <c r="AB129" s="2051"/>
      <c r="AC129" s="2051"/>
      <c r="AD129" s="2051"/>
      <c r="AE129" s="2051"/>
      <c r="AF129" s="2051"/>
      <c r="AG129" s="2051"/>
      <c r="AH129" s="2051"/>
      <c r="AI129" s="2051"/>
      <c r="AJ129" s="2051"/>
      <c r="AK129" s="2051"/>
      <c r="AL129" s="2051"/>
      <c r="AM129" s="2051"/>
      <c r="AN129" s="2051"/>
      <c r="AO129" s="2051"/>
      <c r="AP129" s="2051"/>
      <c r="AQ129" s="2051"/>
      <c r="AR129" s="2051"/>
      <c r="AS129" s="2051"/>
      <c r="AT129" s="2051"/>
      <c r="AU129" s="2051"/>
      <c r="AV129" s="2051"/>
      <c r="AW129" s="2051"/>
      <c r="AX129" s="2051"/>
      <c r="AY129" s="2051"/>
      <c r="AZ129" s="2051"/>
      <c r="BA129" s="2051"/>
      <c r="BB129" s="2051"/>
      <c r="BC129" s="2051"/>
      <c r="BD129" s="2052"/>
      <c r="BE129" s="1215"/>
    </row>
    <row r="130" spans="1:57" ht="15.75" customHeight="1">
      <c r="A130" s="1208"/>
      <c r="B130" s="2047"/>
      <c r="C130" s="2048"/>
      <c r="D130" s="2048"/>
      <c r="E130" s="2048"/>
      <c r="F130" s="2048"/>
      <c r="G130" s="2048"/>
      <c r="H130" s="2048"/>
      <c r="I130" s="2085"/>
      <c r="J130" s="2085"/>
      <c r="K130" s="2085"/>
      <c r="L130" s="2085"/>
      <c r="M130" s="2085"/>
      <c r="N130" s="2085"/>
      <c r="O130" s="2085"/>
      <c r="P130" s="2085"/>
      <c r="Q130" s="2085"/>
      <c r="R130" s="2085"/>
      <c r="S130" s="2085"/>
      <c r="T130" s="2085"/>
      <c r="U130" s="2086"/>
      <c r="V130" s="1208"/>
      <c r="W130" s="1208"/>
      <c r="X130" s="2050"/>
      <c r="Y130" s="2051"/>
      <c r="Z130" s="2051"/>
      <c r="AA130" s="2051"/>
      <c r="AB130" s="2051"/>
      <c r="AC130" s="2051"/>
      <c r="AD130" s="2051"/>
      <c r="AE130" s="2051"/>
      <c r="AF130" s="2051"/>
      <c r="AG130" s="2051"/>
      <c r="AH130" s="2051"/>
      <c r="AI130" s="2051"/>
      <c r="AJ130" s="2051"/>
      <c r="AK130" s="2051"/>
      <c r="AL130" s="2051"/>
      <c r="AM130" s="2051"/>
      <c r="AN130" s="2051"/>
      <c r="AO130" s="2051"/>
      <c r="AP130" s="2051"/>
      <c r="AQ130" s="2051"/>
      <c r="AR130" s="2051"/>
      <c r="AS130" s="2051"/>
      <c r="AT130" s="2051"/>
      <c r="AU130" s="2051"/>
      <c r="AV130" s="2051"/>
      <c r="AW130" s="2051"/>
      <c r="AX130" s="2051"/>
      <c r="AY130" s="2051"/>
      <c r="AZ130" s="2051"/>
      <c r="BA130" s="2051"/>
      <c r="BB130" s="2051"/>
      <c r="BC130" s="2051"/>
      <c r="BD130" s="2052"/>
      <c r="BE130" s="1215"/>
    </row>
    <row r="131" spans="1:57" ht="15.75" customHeight="1">
      <c r="A131" s="1208"/>
      <c r="B131" s="2081" t="s">
        <v>2287</v>
      </c>
      <c r="C131" s="2082"/>
      <c r="D131" s="2082"/>
      <c r="E131" s="2082"/>
      <c r="F131" s="2082"/>
      <c r="G131" s="2082"/>
      <c r="H131" s="2082"/>
      <c r="I131" s="2083">
        <v>0</v>
      </c>
      <c r="J131" s="2083"/>
      <c r="K131" s="2083"/>
      <c r="L131" s="2083"/>
      <c r="M131" s="2083"/>
      <c r="N131" s="2083"/>
      <c r="O131" s="2083"/>
      <c r="P131" s="2083">
        <v>0</v>
      </c>
      <c r="Q131" s="2083"/>
      <c r="R131" s="2083"/>
      <c r="S131" s="2083"/>
      <c r="T131" s="2083"/>
      <c r="U131" s="2084"/>
      <c r="V131" s="1208"/>
      <c r="W131" s="1208"/>
      <c r="X131" s="2050"/>
      <c r="Y131" s="2051"/>
      <c r="Z131" s="2051"/>
      <c r="AA131" s="2051"/>
      <c r="AB131" s="2051"/>
      <c r="AC131" s="2051"/>
      <c r="AD131" s="2051"/>
      <c r="AE131" s="2051"/>
      <c r="AF131" s="2051"/>
      <c r="AG131" s="2051"/>
      <c r="AH131" s="2051"/>
      <c r="AI131" s="2051"/>
      <c r="AJ131" s="2051"/>
      <c r="AK131" s="2051"/>
      <c r="AL131" s="2051"/>
      <c r="AM131" s="2051"/>
      <c r="AN131" s="2051"/>
      <c r="AO131" s="2051"/>
      <c r="AP131" s="2051"/>
      <c r="AQ131" s="2051"/>
      <c r="AR131" s="2051"/>
      <c r="AS131" s="2051"/>
      <c r="AT131" s="2051"/>
      <c r="AU131" s="2051"/>
      <c r="AV131" s="2051"/>
      <c r="AW131" s="2051"/>
      <c r="AX131" s="2051"/>
      <c r="AY131" s="2051"/>
      <c r="AZ131" s="2051"/>
      <c r="BA131" s="2051"/>
      <c r="BB131" s="2051"/>
      <c r="BC131" s="2051"/>
      <c r="BD131" s="2052"/>
      <c r="BE131" s="1215"/>
    </row>
    <row r="132" spans="1:57" ht="15.75" customHeight="1" thickBot="1">
      <c r="A132" s="1208"/>
      <c r="B132" s="2075" t="s">
        <v>2286</v>
      </c>
      <c r="C132" s="2076"/>
      <c r="D132" s="2076"/>
      <c r="E132" s="2076"/>
      <c r="F132" s="2076"/>
      <c r="G132" s="2076"/>
      <c r="H132" s="2076"/>
      <c r="I132" s="2077">
        <v>0</v>
      </c>
      <c r="J132" s="2077"/>
      <c r="K132" s="2077"/>
      <c r="L132" s="2077"/>
      <c r="M132" s="2077"/>
      <c r="N132" s="2077"/>
      <c r="O132" s="2077"/>
      <c r="P132" s="2077">
        <v>0</v>
      </c>
      <c r="Q132" s="2077"/>
      <c r="R132" s="2077"/>
      <c r="S132" s="2077"/>
      <c r="T132" s="2077"/>
      <c r="U132" s="2078"/>
      <c r="V132" s="1208"/>
      <c r="W132" s="1208"/>
      <c r="X132" s="2053"/>
      <c r="Y132" s="2054"/>
      <c r="Z132" s="2054"/>
      <c r="AA132" s="2054"/>
      <c r="AB132" s="2054"/>
      <c r="AC132" s="2054"/>
      <c r="AD132" s="2054"/>
      <c r="AE132" s="2054"/>
      <c r="AF132" s="2054"/>
      <c r="AG132" s="2054"/>
      <c r="AH132" s="2054"/>
      <c r="AI132" s="2054"/>
      <c r="AJ132" s="2054"/>
      <c r="AK132" s="2054"/>
      <c r="AL132" s="2054"/>
      <c r="AM132" s="2054"/>
      <c r="AN132" s="2054"/>
      <c r="AO132" s="2054"/>
      <c r="AP132" s="2054"/>
      <c r="AQ132" s="2054"/>
      <c r="AR132" s="2054"/>
      <c r="AS132" s="2054"/>
      <c r="AT132" s="2054"/>
      <c r="AU132" s="2054"/>
      <c r="AV132" s="2054"/>
      <c r="AW132" s="2054"/>
      <c r="AX132" s="2054"/>
      <c r="AY132" s="2054"/>
      <c r="AZ132" s="2054"/>
      <c r="BA132" s="2054"/>
      <c r="BB132" s="2054"/>
      <c r="BC132" s="2054"/>
      <c r="BD132" s="2055"/>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2" t="s">
        <v>2300</v>
      </c>
      <c r="C134" s="2103"/>
      <c r="D134" s="2103"/>
      <c r="E134" s="2103"/>
      <c r="F134" s="2103"/>
      <c r="G134" s="2103"/>
      <c r="H134" s="2103"/>
      <c r="I134" s="2103"/>
      <c r="J134" s="2103"/>
      <c r="K134" s="2103"/>
      <c r="L134" s="2103"/>
      <c r="M134" s="2103"/>
      <c r="N134" s="2103"/>
      <c r="O134" s="2103"/>
      <c r="P134" s="2103"/>
      <c r="Q134" s="2103"/>
      <c r="R134" s="2103"/>
      <c r="S134" s="2103"/>
      <c r="T134" s="2103"/>
      <c r="U134" s="2103"/>
      <c r="V134" s="2103"/>
      <c r="W134" s="2103"/>
      <c r="X134" s="2103"/>
      <c r="Y134" s="2103"/>
      <c r="Z134" s="2103"/>
      <c r="AA134" s="2103"/>
      <c r="AB134" s="2103"/>
      <c r="AC134" s="2103"/>
      <c r="AD134" s="2103"/>
      <c r="AE134" s="2103"/>
      <c r="AF134" s="2103"/>
      <c r="AG134" s="2103"/>
      <c r="AH134" s="2090" t="s">
        <v>545</v>
      </c>
      <c r="AI134" s="2090"/>
      <c r="AJ134" s="2090"/>
      <c r="AK134" s="2090"/>
      <c r="AL134" s="2090"/>
      <c r="AM134" s="2090"/>
      <c r="AN134" s="2090"/>
      <c r="AO134" s="2090"/>
      <c r="AP134" s="2090"/>
      <c r="AQ134" s="2090"/>
      <c r="AR134" s="2090"/>
      <c r="AS134" s="2090"/>
      <c r="AT134" s="2090"/>
      <c r="AU134" s="2090"/>
      <c r="AV134" s="2090"/>
      <c r="AW134" s="2090"/>
      <c r="AX134" s="2091"/>
      <c r="AY134" s="1208"/>
      <c r="AZ134" s="1208"/>
      <c r="BA134" s="1208"/>
      <c r="BB134" s="1208"/>
      <c r="BC134" s="1208"/>
      <c r="BD134" s="1208"/>
      <c r="BE134" s="1215"/>
    </row>
    <row r="135" spans="1:57" ht="15.75" customHeight="1" thickBot="1">
      <c r="A135" s="1208"/>
      <c r="B135" s="2087" t="s">
        <v>2299</v>
      </c>
      <c r="C135" s="2088"/>
      <c r="D135" s="2088"/>
      <c r="E135" s="2088"/>
      <c r="F135" s="2088"/>
      <c r="G135" s="2088"/>
      <c r="H135" s="2088"/>
      <c r="I135" s="2088"/>
      <c r="J135" s="2088"/>
      <c r="K135" s="2088"/>
      <c r="L135" s="2088"/>
      <c r="M135" s="2088"/>
      <c r="N135" s="2088"/>
      <c r="O135" s="2088"/>
      <c r="P135" s="2088"/>
      <c r="Q135" s="2088"/>
      <c r="R135" s="2088"/>
      <c r="S135" s="2088"/>
      <c r="T135" s="2088"/>
      <c r="U135" s="2088"/>
      <c r="V135" s="2088"/>
      <c r="W135" s="2088"/>
      <c r="X135" s="2088"/>
      <c r="Y135" s="2088"/>
      <c r="Z135" s="2088"/>
      <c r="AA135" s="2088"/>
      <c r="AB135" s="2088"/>
      <c r="AC135" s="2088"/>
      <c r="AD135" s="2088"/>
      <c r="AE135" s="2088"/>
      <c r="AF135" s="2088"/>
      <c r="AG135" s="2089"/>
      <c r="AH135" s="2104"/>
      <c r="AI135" s="2105"/>
      <c r="AJ135" s="2105"/>
      <c r="AK135" s="2105"/>
      <c r="AL135" s="2105"/>
      <c r="AM135" s="2105"/>
      <c r="AN135" s="2105"/>
      <c r="AO135" s="2105"/>
      <c r="AP135" s="2105"/>
      <c r="AQ135" s="2105"/>
      <c r="AR135" s="2105"/>
      <c r="AS135" s="2105"/>
      <c r="AT135" s="2105"/>
      <c r="AU135" s="2105"/>
      <c r="AV135" s="2105"/>
      <c r="AW135" s="2105"/>
      <c r="AX135" s="2106"/>
      <c r="AY135" s="1208"/>
      <c r="AZ135" s="1208"/>
      <c r="BA135" s="1208"/>
      <c r="BB135" s="1208"/>
      <c r="BC135" s="1208"/>
      <c r="BD135" s="1208"/>
      <c r="BE135" s="1215"/>
    </row>
    <row r="136" spans="1:57" ht="15.75" customHeight="1">
      <c r="A136" s="1208"/>
      <c r="B136" s="2087" t="s">
        <v>2298</v>
      </c>
      <c r="C136" s="2088"/>
      <c r="D136" s="2088"/>
      <c r="E136" s="2088"/>
      <c r="F136" s="2088"/>
      <c r="G136" s="2088"/>
      <c r="H136" s="2088"/>
      <c r="I136" s="2088"/>
      <c r="J136" s="2088"/>
      <c r="K136" s="2088"/>
      <c r="L136" s="2088"/>
      <c r="M136" s="2088"/>
      <c r="N136" s="2088"/>
      <c r="O136" s="2088"/>
      <c r="P136" s="2088"/>
      <c r="Q136" s="2088"/>
      <c r="R136" s="2088"/>
      <c r="S136" s="2088"/>
      <c r="T136" s="2088"/>
      <c r="U136" s="2088"/>
      <c r="V136" s="2088"/>
      <c r="W136" s="2088"/>
      <c r="X136" s="2088"/>
      <c r="Y136" s="2088"/>
      <c r="Z136" s="2088"/>
      <c r="AA136" s="2088"/>
      <c r="AB136" s="2088"/>
      <c r="AC136" s="2088"/>
      <c r="AD136" s="2088"/>
      <c r="AE136" s="2088"/>
      <c r="AF136" s="2088"/>
      <c r="AG136" s="2089"/>
      <c r="AH136" s="2090" t="s">
        <v>545</v>
      </c>
      <c r="AI136" s="2090"/>
      <c r="AJ136" s="2090"/>
      <c r="AK136" s="2090"/>
      <c r="AL136" s="2090"/>
      <c r="AM136" s="2090"/>
      <c r="AN136" s="2090"/>
      <c r="AO136" s="2090"/>
      <c r="AP136" s="2090"/>
      <c r="AQ136" s="2090"/>
      <c r="AR136" s="2090"/>
      <c r="AS136" s="2090"/>
      <c r="AT136" s="2090"/>
      <c r="AU136" s="2090"/>
      <c r="AV136" s="2090"/>
      <c r="AW136" s="2090"/>
      <c r="AX136" s="2091"/>
      <c r="AY136" s="1208"/>
      <c r="AZ136" s="1208"/>
      <c r="BA136" s="1208"/>
      <c r="BB136" s="1208"/>
      <c r="BC136" s="1208"/>
      <c r="BD136" s="1208"/>
      <c r="BE136" s="1215"/>
    </row>
    <row r="137" spans="1:57" ht="15.75" customHeight="1">
      <c r="A137" s="1208"/>
      <c r="B137" s="2092" t="s">
        <v>2297</v>
      </c>
      <c r="C137" s="2093"/>
      <c r="D137" s="2093"/>
      <c r="E137" s="2093"/>
      <c r="F137" s="2093"/>
      <c r="G137" s="2093"/>
      <c r="H137" s="2093"/>
      <c r="I137" s="2093"/>
      <c r="J137" s="2093"/>
      <c r="K137" s="2093"/>
      <c r="L137" s="2093"/>
      <c r="M137" s="2093"/>
      <c r="N137" s="2093"/>
      <c r="O137" s="2093"/>
      <c r="P137" s="2093"/>
      <c r="Q137" s="2093"/>
      <c r="R137" s="2094" t="s">
        <v>2296</v>
      </c>
      <c r="S137" s="2094"/>
      <c r="T137" s="2094"/>
      <c r="U137" s="2094"/>
      <c r="V137" s="2094"/>
      <c r="W137" s="2094"/>
      <c r="X137" s="2094"/>
      <c r="Y137" s="2094"/>
      <c r="Z137" s="2094"/>
      <c r="AA137" s="2094"/>
      <c r="AB137" s="2094"/>
      <c r="AC137" s="2094"/>
      <c r="AD137" s="2094"/>
      <c r="AE137" s="2094"/>
      <c r="AF137" s="2094"/>
      <c r="AG137" s="2094"/>
      <c r="AH137" s="2094"/>
      <c r="AI137" s="2094"/>
      <c r="AJ137" s="2094"/>
      <c r="AK137" s="2094"/>
      <c r="AL137" s="2094"/>
      <c r="AM137" s="2094"/>
      <c r="AN137" s="2094"/>
      <c r="AO137" s="2094"/>
      <c r="AP137" s="2094"/>
      <c r="AQ137" s="2094"/>
      <c r="AR137" s="2094"/>
      <c r="AS137" s="2094"/>
      <c r="AT137" s="2094"/>
      <c r="AU137" s="2094"/>
      <c r="AV137" s="2094"/>
      <c r="AW137" s="2094"/>
      <c r="AX137" s="2095"/>
      <c r="AY137" s="1208"/>
      <c r="AZ137" s="1208"/>
      <c r="BA137" s="1208"/>
      <c r="BB137" s="1208"/>
      <c r="BC137" s="1208" t="s">
        <v>250</v>
      </c>
      <c r="BD137" s="1208"/>
      <c r="BE137" s="1215"/>
    </row>
    <row r="138" spans="1:57" ht="15.75" customHeight="1">
      <c r="A138" s="1208"/>
      <c r="B138" s="2096" t="s">
        <v>2295</v>
      </c>
      <c r="C138" s="2097"/>
      <c r="D138" s="2097"/>
      <c r="E138" s="2097"/>
      <c r="F138" s="2097"/>
      <c r="G138" s="2097"/>
      <c r="H138" s="2097"/>
      <c r="I138" s="2097"/>
      <c r="J138" s="2097"/>
      <c r="K138" s="2097"/>
      <c r="L138" s="2097"/>
      <c r="M138" s="2097"/>
      <c r="N138" s="2097"/>
      <c r="O138" s="2097"/>
      <c r="P138" s="2097"/>
      <c r="Q138" s="2097"/>
      <c r="R138" s="2097"/>
      <c r="S138" s="2097"/>
      <c r="T138" s="2097"/>
      <c r="U138" s="2097"/>
      <c r="V138" s="2097"/>
      <c r="W138" s="2097"/>
      <c r="X138" s="2097"/>
      <c r="Y138" s="2097"/>
      <c r="Z138" s="2097"/>
      <c r="AA138" s="2097"/>
      <c r="AB138" s="2097"/>
      <c r="AC138" s="2097"/>
      <c r="AD138" s="2097"/>
      <c r="AE138" s="2097"/>
      <c r="AF138" s="2097"/>
      <c r="AG138" s="2097"/>
      <c r="AH138" s="2097"/>
      <c r="AI138" s="2097"/>
      <c r="AJ138" s="2097"/>
      <c r="AK138" s="2097"/>
      <c r="AL138" s="2097"/>
      <c r="AM138" s="2097"/>
      <c r="AN138" s="2097"/>
      <c r="AO138" s="2097"/>
      <c r="AP138" s="2097"/>
      <c r="AQ138" s="2097"/>
      <c r="AR138" s="2097"/>
      <c r="AS138" s="2097"/>
      <c r="AT138" s="2097"/>
      <c r="AU138" s="2097"/>
      <c r="AV138" s="2097"/>
      <c r="AW138" s="2097"/>
      <c r="AX138" s="2098"/>
      <c r="AY138" s="1208"/>
      <c r="AZ138" s="1208"/>
      <c r="BA138" s="1208"/>
      <c r="BB138" s="1208"/>
      <c r="BC138" s="1208"/>
      <c r="BD138" s="1208"/>
      <c r="BE138" s="1215"/>
    </row>
    <row r="139" spans="1:57" ht="15.75" customHeight="1">
      <c r="A139" s="1208"/>
      <c r="B139" s="2096"/>
      <c r="C139" s="2097"/>
      <c r="D139" s="2097"/>
      <c r="E139" s="2097"/>
      <c r="F139" s="2097"/>
      <c r="G139" s="2097"/>
      <c r="H139" s="2097"/>
      <c r="I139" s="2097"/>
      <c r="J139" s="2097"/>
      <c r="K139" s="2097"/>
      <c r="L139" s="2097"/>
      <c r="M139" s="2097"/>
      <c r="N139" s="2097"/>
      <c r="O139" s="2097"/>
      <c r="P139" s="2097"/>
      <c r="Q139" s="2097"/>
      <c r="R139" s="2097"/>
      <c r="S139" s="2097"/>
      <c r="T139" s="2097"/>
      <c r="U139" s="2097"/>
      <c r="V139" s="2097"/>
      <c r="W139" s="2097"/>
      <c r="X139" s="2097"/>
      <c r="Y139" s="2097"/>
      <c r="Z139" s="2097"/>
      <c r="AA139" s="2097"/>
      <c r="AB139" s="2097"/>
      <c r="AC139" s="2097"/>
      <c r="AD139" s="2097"/>
      <c r="AE139" s="2097"/>
      <c r="AF139" s="2097"/>
      <c r="AG139" s="2097"/>
      <c r="AH139" s="2097"/>
      <c r="AI139" s="2097"/>
      <c r="AJ139" s="2097"/>
      <c r="AK139" s="2097"/>
      <c r="AL139" s="2097"/>
      <c r="AM139" s="2097"/>
      <c r="AN139" s="2097"/>
      <c r="AO139" s="2097"/>
      <c r="AP139" s="2097"/>
      <c r="AQ139" s="2097"/>
      <c r="AR139" s="2097"/>
      <c r="AS139" s="2097"/>
      <c r="AT139" s="2097"/>
      <c r="AU139" s="2097"/>
      <c r="AV139" s="2097"/>
      <c r="AW139" s="2097"/>
      <c r="AX139" s="2098"/>
      <c r="AY139" s="1208"/>
      <c r="AZ139" s="1208"/>
      <c r="BA139" s="1208"/>
      <c r="BB139" s="1208"/>
      <c r="BC139" s="1208"/>
      <c r="BD139" s="1208"/>
      <c r="BE139" s="1215"/>
    </row>
    <row r="140" spans="1:57" ht="15.75" customHeight="1">
      <c r="A140" s="1208"/>
      <c r="B140" s="2096"/>
      <c r="C140" s="2097"/>
      <c r="D140" s="2097"/>
      <c r="E140" s="2097"/>
      <c r="F140" s="2097"/>
      <c r="G140" s="2097"/>
      <c r="H140" s="2097"/>
      <c r="I140" s="2097"/>
      <c r="J140" s="2097"/>
      <c r="K140" s="2097"/>
      <c r="L140" s="2097"/>
      <c r="M140" s="2097"/>
      <c r="N140" s="2097"/>
      <c r="O140" s="2097"/>
      <c r="P140" s="2097"/>
      <c r="Q140" s="2097"/>
      <c r="R140" s="2097"/>
      <c r="S140" s="2097"/>
      <c r="T140" s="2097"/>
      <c r="U140" s="2097"/>
      <c r="V140" s="2097"/>
      <c r="W140" s="2097"/>
      <c r="X140" s="2097"/>
      <c r="Y140" s="2097"/>
      <c r="Z140" s="2097"/>
      <c r="AA140" s="2097"/>
      <c r="AB140" s="2097"/>
      <c r="AC140" s="2097"/>
      <c r="AD140" s="2097"/>
      <c r="AE140" s="2097"/>
      <c r="AF140" s="2097"/>
      <c r="AG140" s="2097"/>
      <c r="AH140" s="2097"/>
      <c r="AI140" s="2097"/>
      <c r="AJ140" s="2097"/>
      <c r="AK140" s="2097"/>
      <c r="AL140" s="2097"/>
      <c r="AM140" s="2097"/>
      <c r="AN140" s="2097"/>
      <c r="AO140" s="2097"/>
      <c r="AP140" s="2097"/>
      <c r="AQ140" s="2097"/>
      <c r="AR140" s="2097"/>
      <c r="AS140" s="2097"/>
      <c r="AT140" s="2097"/>
      <c r="AU140" s="2097"/>
      <c r="AV140" s="2097"/>
      <c r="AW140" s="2097"/>
      <c r="AX140" s="2098"/>
      <c r="AY140" s="1208"/>
      <c r="AZ140" s="1208"/>
      <c r="BA140" s="1208"/>
      <c r="BB140" s="1208"/>
      <c r="BC140" s="1208"/>
      <c r="BD140" s="1208"/>
      <c r="BE140" s="1215"/>
    </row>
    <row r="141" spans="1:57" ht="15.75" customHeight="1">
      <c r="A141" s="1208"/>
      <c r="B141" s="2096"/>
      <c r="C141" s="2097"/>
      <c r="D141" s="2097"/>
      <c r="E141" s="2097"/>
      <c r="F141" s="2097"/>
      <c r="G141" s="2097"/>
      <c r="H141" s="2097"/>
      <c r="I141" s="2097"/>
      <c r="J141" s="2097"/>
      <c r="K141" s="2097"/>
      <c r="L141" s="2097"/>
      <c r="M141" s="2097"/>
      <c r="N141" s="2097"/>
      <c r="O141" s="2097"/>
      <c r="P141" s="2097"/>
      <c r="Q141" s="2097"/>
      <c r="R141" s="2097"/>
      <c r="S141" s="2097"/>
      <c r="T141" s="2097"/>
      <c r="U141" s="2097"/>
      <c r="V141" s="2097"/>
      <c r="W141" s="2097"/>
      <c r="X141" s="2097"/>
      <c r="Y141" s="2097"/>
      <c r="Z141" s="2097"/>
      <c r="AA141" s="2097"/>
      <c r="AB141" s="2097"/>
      <c r="AC141" s="2097"/>
      <c r="AD141" s="2097"/>
      <c r="AE141" s="2097"/>
      <c r="AF141" s="2097"/>
      <c r="AG141" s="2097"/>
      <c r="AH141" s="2097"/>
      <c r="AI141" s="2097"/>
      <c r="AJ141" s="2097"/>
      <c r="AK141" s="2097"/>
      <c r="AL141" s="2097"/>
      <c r="AM141" s="2097"/>
      <c r="AN141" s="2097"/>
      <c r="AO141" s="2097"/>
      <c r="AP141" s="2097"/>
      <c r="AQ141" s="2097"/>
      <c r="AR141" s="2097"/>
      <c r="AS141" s="2097"/>
      <c r="AT141" s="2097"/>
      <c r="AU141" s="2097"/>
      <c r="AV141" s="2097"/>
      <c r="AW141" s="2097"/>
      <c r="AX141" s="2098"/>
      <c r="AY141" s="1208"/>
      <c r="AZ141" s="1208"/>
      <c r="BA141" s="1208"/>
      <c r="BB141" s="1208"/>
      <c r="BC141" s="1208"/>
      <c r="BD141" s="1208"/>
      <c r="BE141" s="1215"/>
    </row>
    <row r="142" spans="1:57" ht="15.75" customHeight="1">
      <c r="A142" s="1208"/>
      <c r="B142" s="2096"/>
      <c r="C142" s="2097"/>
      <c r="D142" s="2097"/>
      <c r="E142" s="2097"/>
      <c r="F142" s="2097"/>
      <c r="G142" s="2097"/>
      <c r="H142" s="2097"/>
      <c r="I142" s="2097"/>
      <c r="J142" s="2097"/>
      <c r="K142" s="2097"/>
      <c r="L142" s="2097"/>
      <c r="M142" s="2097"/>
      <c r="N142" s="2097"/>
      <c r="O142" s="2097"/>
      <c r="P142" s="2097"/>
      <c r="Q142" s="2097"/>
      <c r="R142" s="2097"/>
      <c r="S142" s="2097"/>
      <c r="T142" s="2097"/>
      <c r="U142" s="2097"/>
      <c r="V142" s="2097"/>
      <c r="W142" s="2097"/>
      <c r="X142" s="2097"/>
      <c r="Y142" s="2097"/>
      <c r="Z142" s="2097"/>
      <c r="AA142" s="2097"/>
      <c r="AB142" s="2097"/>
      <c r="AC142" s="2097"/>
      <c r="AD142" s="2097"/>
      <c r="AE142" s="2097"/>
      <c r="AF142" s="2097"/>
      <c r="AG142" s="2097"/>
      <c r="AH142" s="2097"/>
      <c r="AI142" s="2097"/>
      <c r="AJ142" s="2097"/>
      <c r="AK142" s="2097"/>
      <c r="AL142" s="2097"/>
      <c r="AM142" s="2097"/>
      <c r="AN142" s="2097"/>
      <c r="AO142" s="2097"/>
      <c r="AP142" s="2097"/>
      <c r="AQ142" s="2097"/>
      <c r="AR142" s="2097"/>
      <c r="AS142" s="2097"/>
      <c r="AT142" s="2097"/>
      <c r="AU142" s="2097"/>
      <c r="AV142" s="2097"/>
      <c r="AW142" s="2097"/>
      <c r="AX142" s="2098"/>
      <c r="AY142" s="1208"/>
      <c r="AZ142" s="1208"/>
      <c r="BA142" s="1208"/>
      <c r="BB142" s="1208"/>
      <c r="BC142" s="1208"/>
      <c r="BD142" s="1208"/>
      <c r="BE142" s="1215"/>
    </row>
    <row r="143" spans="1:57" ht="15.75" customHeight="1">
      <c r="A143" s="1208"/>
      <c r="B143" s="2096"/>
      <c r="C143" s="2097"/>
      <c r="D143" s="2097"/>
      <c r="E143" s="2097"/>
      <c r="F143" s="2097"/>
      <c r="G143" s="2097"/>
      <c r="H143" s="2097"/>
      <c r="I143" s="2097"/>
      <c r="J143" s="2097"/>
      <c r="K143" s="2097"/>
      <c r="L143" s="2097"/>
      <c r="M143" s="2097"/>
      <c r="N143" s="2097"/>
      <c r="O143" s="2097"/>
      <c r="P143" s="2097"/>
      <c r="Q143" s="2097"/>
      <c r="R143" s="2097"/>
      <c r="S143" s="2097"/>
      <c r="T143" s="2097"/>
      <c r="U143" s="2097"/>
      <c r="V143" s="2097"/>
      <c r="W143" s="2097"/>
      <c r="X143" s="2097"/>
      <c r="Y143" s="2097"/>
      <c r="Z143" s="2097"/>
      <c r="AA143" s="2097"/>
      <c r="AB143" s="2097"/>
      <c r="AC143" s="2097"/>
      <c r="AD143" s="2097"/>
      <c r="AE143" s="2097"/>
      <c r="AF143" s="2097"/>
      <c r="AG143" s="2097"/>
      <c r="AH143" s="2097"/>
      <c r="AI143" s="2097"/>
      <c r="AJ143" s="2097"/>
      <c r="AK143" s="2097"/>
      <c r="AL143" s="2097"/>
      <c r="AM143" s="2097"/>
      <c r="AN143" s="2097"/>
      <c r="AO143" s="2097"/>
      <c r="AP143" s="2097"/>
      <c r="AQ143" s="2097"/>
      <c r="AR143" s="2097"/>
      <c r="AS143" s="2097"/>
      <c r="AT143" s="2097"/>
      <c r="AU143" s="2097"/>
      <c r="AV143" s="2097"/>
      <c r="AW143" s="2097"/>
      <c r="AX143" s="2098"/>
      <c r="AY143" s="1208"/>
      <c r="AZ143" s="1208"/>
      <c r="BA143" s="1208"/>
      <c r="BB143" s="1208"/>
      <c r="BC143" s="1208"/>
      <c r="BD143" s="1208"/>
      <c r="BE143" s="1215"/>
    </row>
    <row r="144" spans="1:57" ht="15.75" customHeight="1">
      <c r="A144" s="1208"/>
      <c r="B144" s="2096"/>
      <c r="C144" s="2097"/>
      <c r="D144" s="2097"/>
      <c r="E144" s="2097"/>
      <c r="F144" s="2097"/>
      <c r="G144" s="2097"/>
      <c r="H144" s="2097"/>
      <c r="I144" s="2097"/>
      <c r="J144" s="2097"/>
      <c r="K144" s="2097"/>
      <c r="L144" s="2097"/>
      <c r="M144" s="2097"/>
      <c r="N144" s="2097"/>
      <c r="O144" s="2097"/>
      <c r="P144" s="2097"/>
      <c r="Q144" s="2097"/>
      <c r="R144" s="2097"/>
      <c r="S144" s="2097"/>
      <c r="T144" s="2097"/>
      <c r="U144" s="2097"/>
      <c r="V144" s="2097"/>
      <c r="W144" s="2097"/>
      <c r="X144" s="2097"/>
      <c r="Y144" s="2097"/>
      <c r="Z144" s="2097"/>
      <c r="AA144" s="2097"/>
      <c r="AB144" s="2097"/>
      <c r="AC144" s="2097"/>
      <c r="AD144" s="2097"/>
      <c r="AE144" s="2097"/>
      <c r="AF144" s="2097"/>
      <c r="AG144" s="2097"/>
      <c r="AH144" s="2097"/>
      <c r="AI144" s="2097"/>
      <c r="AJ144" s="2097"/>
      <c r="AK144" s="2097"/>
      <c r="AL144" s="2097"/>
      <c r="AM144" s="2097"/>
      <c r="AN144" s="2097"/>
      <c r="AO144" s="2097"/>
      <c r="AP144" s="2097"/>
      <c r="AQ144" s="2097"/>
      <c r="AR144" s="2097"/>
      <c r="AS144" s="2097"/>
      <c r="AT144" s="2097"/>
      <c r="AU144" s="2097"/>
      <c r="AV144" s="2097"/>
      <c r="AW144" s="2097"/>
      <c r="AX144" s="2098"/>
      <c r="AY144" s="1208"/>
      <c r="AZ144" s="1208"/>
      <c r="BA144" s="1208"/>
      <c r="BB144" s="1208"/>
      <c r="BC144" s="1208"/>
      <c r="BD144" s="1208"/>
      <c r="BE144" s="1215"/>
    </row>
    <row r="145" spans="1:57" ht="15.75" customHeight="1">
      <c r="A145" s="1208"/>
      <c r="B145" s="2096"/>
      <c r="C145" s="2097"/>
      <c r="D145" s="2097"/>
      <c r="E145" s="2097"/>
      <c r="F145" s="2097"/>
      <c r="G145" s="2097"/>
      <c r="H145" s="2097"/>
      <c r="I145" s="2097"/>
      <c r="J145" s="2097"/>
      <c r="K145" s="2097"/>
      <c r="L145" s="2097"/>
      <c r="M145" s="2097"/>
      <c r="N145" s="2097"/>
      <c r="O145" s="2097"/>
      <c r="P145" s="2097"/>
      <c r="Q145" s="2097"/>
      <c r="R145" s="2097"/>
      <c r="S145" s="2097"/>
      <c r="T145" s="2097"/>
      <c r="U145" s="2097"/>
      <c r="V145" s="2097"/>
      <c r="W145" s="2097"/>
      <c r="X145" s="2097"/>
      <c r="Y145" s="2097"/>
      <c r="Z145" s="2097"/>
      <c r="AA145" s="2097"/>
      <c r="AB145" s="2097"/>
      <c r="AC145" s="2097"/>
      <c r="AD145" s="2097"/>
      <c r="AE145" s="2097"/>
      <c r="AF145" s="2097"/>
      <c r="AG145" s="2097"/>
      <c r="AH145" s="2097"/>
      <c r="AI145" s="2097"/>
      <c r="AJ145" s="2097"/>
      <c r="AK145" s="2097"/>
      <c r="AL145" s="2097"/>
      <c r="AM145" s="2097"/>
      <c r="AN145" s="2097"/>
      <c r="AO145" s="2097"/>
      <c r="AP145" s="2097"/>
      <c r="AQ145" s="2097"/>
      <c r="AR145" s="2097"/>
      <c r="AS145" s="2097"/>
      <c r="AT145" s="2097"/>
      <c r="AU145" s="2097"/>
      <c r="AV145" s="2097"/>
      <c r="AW145" s="2097"/>
      <c r="AX145" s="2098"/>
      <c r="AY145" s="1208"/>
      <c r="AZ145" s="1208"/>
      <c r="BA145" s="1208"/>
      <c r="BB145" s="1208"/>
      <c r="BC145" s="1208"/>
      <c r="BD145" s="1208"/>
      <c r="BE145" s="1215"/>
    </row>
    <row r="146" spans="1:57" ht="15.75" customHeight="1">
      <c r="A146" s="1208"/>
      <c r="B146" s="2096"/>
      <c r="C146" s="2097"/>
      <c r="D146" s="2097"/>
      <c r="E146" s="2097"/>
      <c r="F146" s="2097"/>
      <c r="G146" s="2097"/>
      <c r="H146" s="2097"/>
      <c r="I146" s="2097"/>
      <c r="J146" s="2097"/>
      <c r="K146" s="2097"/>
      <c r="L146" s="2097"/>
      <c r="M146" s="2097"/>
      <c r="N146" s="2097"/>
      <c r="O146" s="2097"/>
      <c r="P146" s="2097"/>
      <c r="Q146" s="2097"/>
      <c r="R146" s="2097"/>
      <c r="S146" s="2097"/>
      <c r="T146" s="2097"/>
      <c r="U146" s="2097"/>
      <c r="V146" s="2097"/>
      <c r="W146" s="2097"/>
      <c r="X146" s="2097"/>
      <c r="Y146" s="2097"/>
      <c r="Z146" s="2097"/>
      <c r="AA146" s="2097"/>
      <c r="AB146" s="2097"/>
      <c r="AC146" s="2097"/>
      <c r="AD146" s="2097"/>
      <c r="AE146" s="2097"/>
      <c r="AF146" s="2097"/>
      <c r="AG146" s="2097"/>
      <c r="AH146" s="2097"/>
      <c r="AI146" s="2097"/>
      <c r="AJ146" s="2097"/>
      <c r="AK146" s="2097"/>
      <c r="AL146" s="2097"/>
      <c r="AM146" s="2097"/>
      <c r="AN146" s="2097"/>
      <c r="AO146" s="2097"/>
      <c r="AP146" s="2097"/>
      <c r="AQ146" s="2097"/>
      <c r="AR146" s="2097"/>
      <c r="AS146" s="2097"/>
      <c r="AT146" s="2097"/>
      <c r="AU146" s="2097"/>
      <c r="AV146" s="2097"/>
      <c r="AW146" s="2097"/>
      <c r="AX146" s="2098"/>
      <c r="AY146" s="1208"/>
      <c r="AZ146" s="1208"/>
      <c r="BA146" s="1208"/>
      <c r="BB146" s="1208"/>
      <c r="BC146" s="1208"/>
      <c r="BD146" s="1208"/>
      <c r="BE146" s="1215"/>
    </row>
    <row r="147" spans="1:57" ht="15.75" customHeight="1" thickBot="1">
      <c r="A147" s="1208"/>
      <c r="B147" s="2099"/>
      <c r="C147" s="2100"/>
      <c r="D147" s="2100"/>
      <c r="E147" s="2100"/>
      <c r="F147" s="2100"/>
      <c r="G147" s="2100"/>
      <c r="H147" s="2100"/>
      <c r="I147" s="2100"/>
      <c r="J147" s="2100"/>
      <c r="K147" s="2100"/>
      <c r="L147" s="2100"/>
      <c r="M147" s="2100"/>
      <c r="N147" s="2100"/>
      <c r="O147" s="2100"/>
      <c r="P147" s="2100"/>
      <c r="Q147" s="2100"/>
      <c r="R147" s="2100"/>
      <c r="S147" s="2100"/>
      <c r="T147" s="2100"/>
      <c r="U147" s="2100"/>
      <c r="V147" s="2100"/>
      <c r="W147" s="2100"/>
      <c r="X147" s="2100"/>
      <c r="Y147" s="2100"/>
      <c r="Z147" s="2100"/>
      <c r="AA147" s="2100"/>
      <c r="AB147" s="2100"/>
      <c r="AC147" s="2100"/>
      <c r="AD147" s="2100"/>
      <c r="AE147" s="2100"/>
      <c r="AF147" s="2100"/>
      <c r="AG147" s="2100"/>
      <c r="AH147" s="2100"/>
      <c r="AI147" s="2100"/>
      <c r="AJ147" s="2100"/>
      <c r="AK147" s="2100"/>
      <c r="AL147" s="2100"/>
      <c r="AM147" s="2100"/>
      <c r="AN147" s="2100"/>
      <c r="AO147" s="2100"/>
      <c r="AP147" s="2100"/>
      <c r="AQ147" s="2100"/>
      <c r="AR147" s="2100"/>
      <c r="AS147" s="2100"/>
      <c r="AT147" s="2100"/>
      <c r="AU147" s="2100"/>
      <c r="AV147" s="2100"/>
      <c r="AW147" s="2100"/>
      <c r="AX147" s="2101"/>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9" t="s">
        <v>2292</v>
      </c>
      <c r="C151" s="2035"/>
      <c r="D151" s="2035"/>
      <c r="E151" s="2035"/>
      <c r="F151" s="2035"/>
      <c r="G151" s="2035"/>
      <c r="H151" s="2035"/>
      <c r="I151" s="2035"/>
      <c r="J151" s="2035"/>
      <c r="K151" s="2035"/>
      <c r="L151" s="2035"/>
      <c r="M151" s="2035"/>
      <c r="N151" s="2035"/>
      <c r="O151" s="2035"/>
      <c r="P151" s="2035"/>
      <c r="Q151" s="2035"/>
      <c r="R151" s="2035"/>
      <c r="S151" s="2035"/>
      <c r="T151" s="2035"/>
      <c r="U151" s="2036"/>
      <c r="V151" s="1208"/>
      <c r="W151" s="1209"/>
      <c r="X151" s="2079" t="s">
        <v>2291</v>
      </c>
      <c r="Y151" s="2035"/>
      <c r="Z151" s="2035"/>
      <c r="AA151" s="2035"/>
      <c r="AB151" s="2035"/>
      <c r="AC151" s="2035"/>
      <c r="AD151" s="2035"/>
      <c r="AE151" s="2035"/>
      <c r="AF151" s="2035"/>
      <c r="AG151" s="2035"/>
      <c r="AH151" s="2035"/>
      <c r="AI151" s="2035"/>
      <c r="AJ151" s="2035"/>
      <c r="AK151" s="2035"/>
      <c r="AL151" s="2035"/>
      <c r="AM151" s="2035"/>
      <c r="AN151" s="2035"/>
      <c r="AO151" s="2035"/>
      <c r="AP151" s="2035"/>
      <c r="AQ151" s="2036"/>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7"/>
      <c r="C152" s="2048"/>
      <c r="D152" s="2048"/>
      <c r="E152" s="2048"/>
      <c r="F152" s="2048"/>
      <c r="G152" s="2048"/>
      <c r="H152" s="2048"/>
      <c r="I152" s="2085" t="s">
        <v>2289</v>
      </c>
      <c r="J152" s="2085"/>
      <c r="K152" s="2085"/>
      <c r="L152" s="2085"/>
      <c r="M152" s="2085"/>
      <c r="N152" s="2085"/>
      <c r="O152" s="2085"/>
      <c r="P152" s="2085" t="s">
        <v>2290</v>
      </c>
      <c r="Q152" s="2085"/>
      <c r="R152" s="2085"/>
      <c r="S152" s="2085"/>
      <c r="T152" s="2085"/>
      <c r="U152" s="2086"/>
      <c r="V152" s="1208"/>
      <c r="W152" s="1208"/>
      <c r="X152" s="2047"/>
      <c r="Y152" s="2048"/>
      <c r="Z152" s="2048"/>
      <c r="AA152" s="2048"/>
      <c r="AB152" s="2048"/>
      <c r="AC152" s="2048"/>
      <c r="AD152" s="2048"/>
      <c r="AE152" s="2085" t="s">
        <v>2289</v>
      </c>
      <c r="AF152" s="2085"/>
      <c r="AG152" s="2085"/>
      <c r="AH152" s="2085"/>
      <c r="AI152" s="2085"/>
      <c r="AJ152" s="2085"/>
      <c r="AK152" s="2085"/>
      <c r="AL152" s="2085" t="s">
        <v>2288</v>
      </c>
      <c r="AM152" s="2085"/>
      <c r="AN152" s="2085"/>
      <c r="AO152" s="2085"/>
      <c r="AP152" s="2085"/>
      <c r="AQ152" s="2086"/>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7"/>
      <c r="C153" s="2048"/>
      <c r="D153" s="2048"/>
      <c r="E153" s="2048"/>
      <c r="F153" s="2048"/>
      <c r="G153" s="2048"/>
      <c r="H153" s="2048"/>
      <c r="I153" s="2085"/>
      <c r="J153" s="2085"/>
      <c r="K153" s="2085"/>
      <c r="L153" s="2085"/>
      <c r="M153" s="2085"/>
      <c r="N153" s="2085"/>
      <c r="O153" s="2085"/>
      <c r="P153" s="2085"/>
      <c r="Q153" s="2085"/>
      <c r="R153" s="2085"/>
      <c r="S153" s="2085"/>
      <c r="T153" s="2085"/>
      <c r="U153" s="2086"/>
      <c r="V153" s="1208"/>
      <c r="W153" s="1208"/>
      <c r="X153" s="2047"/>
      <c r="Y153" s="2048"/>
      <c r="Z153" s="2048"/>
      <c r="AA153" s="2048"/>
      <c r="AB153" s="2048"/>
      <c r="AC153" s="2048"/>
      <c r="AD153" s="2048"/>
      <c r="AE153" s="2085"/>
      <c r="AF153" s="2085"/>
      <c r="AG153" s="2085"/>
      <c r="AH153" s="2085"/>
      <c r="AI153" s="2085"/>
      <c r="AJ153" s="2085"/>
      <c r="AK153" s="2085"/>
      <c r="AL153" s="2085"/>
      <c r="AM153" s="2085"/>
      <c r="AN153" s="2085"/>
      <c r="AO153" s="2085"/>
      <c r="AP153" s="2085"/>
      <c r="AQ153" s="2086"/>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1" t="s">
        <v>2287</v>
      </c>
      <c r="C154" s="2082"/>
      <c r="D154" s="2082"/>
      <c r="E154" s="2082"/>
      <c r="F154" s="2082"/>
      <c r="G154" s="2082"/>
      <c r="H154" s="2082"/>
      <c r="I154" s="2083">
        <v>0</v>
      </c>
      <c r="J154" s="2083"/>
      <c r="K154" s="2083"/>
      <c r="L154" s="2083"/>
      <c r="M154" s="2083"/>
      <c r="N154" s="2083"/>
      <c r="O154" s="2083"/>
      <c r="P154" s="2083">
        <v>0</v>
      </c>
      <c r="Q154" s="2083"/>
      <c r="R154" s="2083"/>
      <c r="S154" s="2083"/>
      <c r="T154" s="2083"/>
      <c r="U154" s="2084"/>
      <c r="V154" s="1208"/>
      <c r="W154" s="1208"/>
      <c r="X154" s="2075" t="s">
        <v>2287</v>
      </c>
      <c r="Y154" s="2076"/>
      <c r="Z154" s="2076"/>
      <c r="AA154" s="2076"/>
      <c r="AB154" s="2076"/>
      <c r="AC154" s="2076"/>
      <c r="AD154" s="2076"/>
      <c r="AE154" s="2077">
        <v>0</v>
      </c>
      <c r="AF154" s="2077"/>
      <c r="AG154" s="2077"/>
      <c r="AH154" s="2077"/>
      <c r="AI154" s="2077"/>
      <c r="AJ154" s="2077"/>
      <c r="AK154" s="2077"/>
      <c r="AL154" s="2077">
        <v>0</v>
      </c>
      <c r="AM154" s="2077"/>
      <c r="AN154" s="2077"/>
      <c r="AO154" s="2077"/>
      <c r="AP154" s="2077"/>
      <c r="AQ154" s="2078"/>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5" t="s">
        <v>2286</v>
      </c>
      <c r="C155" s="2076"/>
      <c r="D155" s="2076"/>
      <c r="E155" s="2076"/>
      <c r="F155" s="2076"/>
      <c r="G155" s="2076"/>
      <c r="H155" s="2076"/>
      <c r="I155" s="2077">
        <v>0</v>
      </c>
      <c r="J155" s="2077"/>
      <c r="K155" s="2077"/>
      <c r="L155" s="2077"/>
      <c r="M155" s="2077"/>
      <c r="N155" s="2077"/>
      <c r="O155" s="2077"/>
      <c r="P155" s="2077">
        <v>0</v>
      </c>
      <c r="Q155" s="2077"/>
      <c r="R155" s="2077"/>
      <c r="S155" s="2077"/>
      <c r="T155" s="2077"/>
      <c r="U155" s="2078"/>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9" t="s">
        <v>2285</v>
      </c>
      <c r="D157" s="2035"/>
      <c r="E157" s="2035"/>
      <c r="F157" s="2035"/>
      <c r="G157" s="2035"/>
      <c r="H157" s="2035"/>
      <c r="I157" s="2035"/>
      <c r="J157" s="2035"/>
      <c r="K157" s="2035"/>
      <c r="L157" s="2035"/>
      <c r="M157" s="2035"/>
      <c r="N157" s="2035"/>
      <c r="O157" s="2035"/>
      <c r="P157" s="2035"/>
      <c r="Q157" s="2035"/>
      <c r="R157" s="2035"/>
      <c r="S157" s="2035"/>
      <c r="T157" s="2035"/>
      <c r="U157" s="2035"/>
      <c r="V157" s="2035"/>
      <c r="W157" s="2035"/>
      <c r="X157" s="2035"/>
      <c r="Y157" s="2035"/>
      <c r="Z157" s="2035"/>
      <c r="AA157" s="2035"/>
      <c r="AB157" s="2035"/>
      <c r="AC157" s="2035"/>
      <c r="AD157" s="2035"/>
      <c r="AE157" s="2035"/>
      <c r="AF157" s="2035"/>
      <c r="AG157" s="2036"/>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7" t="s">
        <v>2270</v>
      </c>
      <c r="D158" s="2048"/>
      <c r="E158" s="2048"/>
      <c r="F158" s="2048"/>
      <c r="G158" s="2048"/>
      <c r="H158" s="2048"/>
      <c r="I158" s="2048"/>
      <c r="J158" s="2048"/>
      <c r="K158" s="2048"/>
      <c r="L158" s="2048"/>
      <c r="M158" s="2048"/>
      <c r="N158" s="2048"/>
      <c r="O158" s="2048"/>
      <c r="P158" s="2048"/>
      <c r="Q158" s="2048" t="s">
        <v>2284</v>
      </c>
      <c r="R158" s="2048"/>
      <c r="S158" s="2048"/>
      <c r="T158" s="2080" t="s">
        <v>2283</v>
      </c>
      <c r="U158" s="2080"/>
      <c r="V158" s="2080"/>
      <c r="W158" s="2080"/>
      <c r="X158" s="2080"/>
      <c r="Y158" s="2080"/>
      <c r="Z158" s="2080"/>
      <c r="AA158" s="2080"/>
      <c r="AB158" s="2048" t="s">
        <v>2282</v>
      </c>
      <c r="AC158" s="2048"/>
      <c r="AD158" s="2048"/>
      <c r="AE158" s="2048"/>
      <c r="AF158" s="2048"/>
      <c r="AG158" s="2049"/>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2" t="s">
        <v>2281</v>
      </c>
      <c r="D159" s="2063"/>
      <c r="E159" s="2063"/>
      <c r="F159" s="2063"/>
      <c r="G159" s="2063"/>
      <c r="H159" s="2063"/>
      <c r="I159" s="2063"/>
      <c r="J159" s="2063"/>
      <c r="K159" s="2063"/>
      <c r="L159" s="2063"/>
      <c r="M159" s="2063"/>
      <c r="N159" s="2063"/>
      <c r="O159" s="2063"/>
      <c r="P159" s="2063"/>
      <c r="Q159" s="2005">
        <v>55</v>
      </c>
      <c r="R159" s="2005"/>
      <c r="S159" s="2005"/>
      <c r="T159" s="2056"/>
      <c r="U159" s="2056"/>
      <c r="V159" s="2056"/>
      <c r="W159" s="2056"/>
      <c r="X159" s="2056"/>
      <c r="Y159" s="2056"/>
      <c r="Z159" s="2056"/>
      <c r="AA159" s="2056"/>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2" t="s">
        <v>2280</v>
      </c>
      <c r="D160" s="2063"/>
      <c r="E160" s="2063"/>
      <c r="F160" s="2063"/>
      <c r="G160" s="2063"/>
      <c r="H160" s="2063"/>
      <c r="I160" s="2063"/>
      <c r="J160" s="2063"/>
      <c r="K160" s="2063"/>
      <c r="L160" s="2063"/>
      <c r="M160" s="2063"/>
      <c r="N160" s="2063"/>
      <c r="O160" s="2063"/>
      <c r="P160" s="2063"/>
      <c r="Q160" s="2005">
        <v>55</v>
      </c>
      <c r="R160" s="2005"/>
      <c r="S160" s="2005"/>
      <c r="T160" s="2065"/>
      <c r="U160" s="2065"/>
      <c r="V160" s="2065"/>
      <c r="W160" s="2065"/>
      <c r="X160" s="2065"/>
      <c r="Y160" s="2065"/>
      <c r="Z160" s="2065"/>
      <c r="AA160" s="2065"/>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2" t="s">
        <v>2279</v>
      </c>
      <c r="D161" s="2063"/>
      <c r="E161" s="2063"/>
      <c r="F161" s="2063"/>
      <c r="G161" s="2063"/>
      <c r="H161" s="2063"/>
      <c r="I161" s="2063"/>
      <c r="J161" s="2063"/>
      <c r="K161" s="2063"/>
      <c r="L161" s="2063"/>
      <c r="M161" s="2063"/>
      <c r="N161" s="2063"/>
      <c r="O161" s="2063"/>
      <c r="P161" s="2063"/>
      <c r="Q161" s="2005">
        <v>55</v>
      </c>
      <c r="R161" s="2005"/>
      <c r="S161" s="2005"/>
      <c r="T161" s="2056"/>
      <c r="U161" s="2056"/>
      <c r="V161" s="2056"/>
      <c r="W161" s="2056"/>
      <c r="X161" s="2056"/>
      <c r="Y161" s="2056"/>
      <c r="Z161" s="2056"/>
      <c r="AA161" s="2056"/>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2" t="s">
        <v>2278</v>
      </c>
      <c r="D162" s="2063"/>
      <c r="E162" s="2063"/>
      <c r="F162" s="2063"/>
      <c r="G162" s="2063"/>
      <c r="H162" s="2063"/>
      <c r="I162" s="2063"/>
      <c r="J162" s="2063"/>
      <c r="K162" s="2063"/>
      <c r="L162" s="2063"/>
      <c r="M162" s="2063"/>
      <c r="N162" s="2063"/>
      <c r="O162" s="2063"/>
      <c r="P162" s="2063"/>
      <c r="Q162" s="2005">
        <v>55</v>
      </c>
      <c r="R162" s="2005"/>
      <c r="S162" s="2005"/>
      <c r="T162" s="2056"/>
      <c r="U162" s="2056"/>
      <c r="V162" s="2056"/>
      <c r="W162" s="2056"/>
      <c r="X162" s="2056"/>
      <c r="Y162" s="2056"/>
      <c r="Z162" s="2056"/>
      <c r="AA162" s="2056"/>
      <c r="AB162" s="2066">
        <v>0</v>
      </c>
      <c r="AC162" s="2066"/>
      <c r="AD162" s="2066"/>
      <c r="AE162" s="2066"/>
      <c r="AF162" s="2066"/>
      <c r="AG162" s="2067"/>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2" t="s">
        <v>170</v>
      </c>
      <c r="D163" s="2063"/>
      <c r="E163" s="2063"/>
      <c r="F163" s="2064" t="s">
        <v>2259</v>
      </c>
      <c r="G163" s="2064"/>
      <c r="H163" s="2064"/>
      <c r="I163" s="2064"/>
      <c r="J163" s="2064"/>
      <c r="K163" s="2064"/>
      <c r="L163" s="2064"/>
      <c r="M163" s="2064"/>
      <c r="N163" s="2064"/>
      <c r="O163" s="2064"/>
      <c r="P163" s="2064"/>
      <c r="Q163" s="2005">
        <v>55</v>
      </c>
      <c r="R163" s="2005"/>
      <c r="S163" s="2005"/>
      <c r="T163" s="2065"/>
      <c r="U163" s="2065"/>
      <c r="V163" s="2065"/>
      <c r="W163" s="2065"/>
      <c r="X163" s="2065"/>
      <c r="Y163" s="2065"/>
      <c r="Z163" s="2065"/>
      <c r="AA163" s="2065"/>
      <c r="AB163" s="2066">
        <v>0</v>
      </c>
      <c r="AC163" s="2066"/>
      <c r="AD163" s="2066"/>
      <c r="AE163" s="2066"/>
      <c r="AF163" s="2066"/>
      <c r="AG163" s="2067"/>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2" t="s">
        <v>170</v>
      </c>
      <c r="D164" s="2063"/>
      <c r="E164" s="2063"/>
      <c r="F164" s="2064" t="s">
        <v>2259</v>
      </c>
      <c r="G164" s="2064"/>
      <c r="H164" s="2064"/>
      <c r="I164" s="2064"/>
      <c r="J164" s="2064"/>
      <c r="K164" s="2064"/>
      <c r="L164" s="2064"/>
      <c r="M164" s="2064"/>
      <c r="N164" s="2064"/>
      <c r="O164" s="2064"/>
      <c r="P164" s="2064"/>
      <c r="Q164" s="2005">
        <v>55</v>
      </c>
      <c r="R164" s="2005"/>
      <c r="S164" s="2005"/>
      <c r="T164" s="2065"/>
      <c r="U164" s="2065"/>
      <c r="V164" s="2065"/>
      <c r="W164" s="2065"/>
      <c r="X164" s="2065"/>
      <c r="Y164" s="2065"/>
      <c r="Z164" s="2065"/>
      <c r="AA164" s="2065"/>
      <c r="AB164" s="2066">
        <v>0</v>
      </c>
      <c r="AC164" s="2066"/>
      <c r="AD164" s="2066"/>
      <c r="AE164" s="2066"/>
      <c r="AF164" s="2066"/>
      <c r="AG164" s="2067"/>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8" t="s">
        <v>170</v>
      </c>
      <c r="D165" s="2069"/>
      <c r="E165" s="2069"/>
      <c r="F165" s="2070" t="s">
        <v>2259</v>
      </c>
      <c r="G165" s="2070"/>
      <c r="H165" s="2070"/>
      <c r="I165" s="2070"/>
      <c r="J165" s="2070"/>
      <c r="K165" s="2070"/>
      <c r="L165" s="2070"/>
      <c r="M165" s="2070"/>
      <c r="N165" s="2070"/>
      <c r="O165" s="2070"/>
      <c r="P165" s="2070"/>
      <c r="Q165" s="2071">
        <v>55</v>
      </c>
      <c r="R165" s="2071"/>
      <c r="S165" s="2071"/>
      <c r="T165" s="2072"/>
      <c r="U165" s="2072"/>
      <c r="V165" s="2072"/>
      <c r="W165" s="2072"/>
      <c r="X165" s="2072"/>
      <c r="Y165" s="2072"/>
      <c r="Z165" s="2072"/>
      <c r="AA165" s="2072"/>
      <c r="AB165" s="2073">
        <v>0</v>
      </c>
      <c r="AC165" s="2073"/>
      <c r="AD165" s="2073"/>
      <c r="AE165" s="2073"/>
      <c r="AF165" s="2073"/>
      <c r="AG165" s="2074"/>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3" t="s">
        <v>2277</v>
      </c>
      <c r="D167" s="2034"/>
      <c r="E167" s="2034"/>
      <c r="F167" s="2034"/>
      <c r="G167" s="2034"/>
      <c r="H167" s="2034"/>
      <c r="I167" s="2034"/>
      <c r="J167" s="2034"/>
      <c r="K167" s="2034"/>
      <c r="L167" s="2034"/>
      <c r="M167" s="2034"/>
      <c r="N167" s="2043"/>
      <c r="O167" s="1208"/>
      <c r="P167" s="2044" t="s">
        <v>2276</v>
      </c>
      <c r="Q167" s="2045"/>
      <c r="R167" s="2045"/>
      <c r="S167" s="2045"/>
      <c r="T167" s="2045"/>
      <c r="U167" s="2045"/>
      <c r="V167" s="2045"/>
      <c r="W167" s="2045"/>
      <c r="X167" s="2045"/>
      <c r="Y167" s="2045"/>
      <c r="Z167" s="2045"/>
      <c r="AA167" s="2045"/>
      <c r="AB167" s="2045"/>
      <c r="AC167" s="2045"/>
      <c r="AD167" s="2045"/>
      <c r="AE167" s="2045"/>
      <c r="AF167" s="2045"/>
      <c r="AG167" s="2045"/>
      <c r="AH167" s="2045"/>
      <c r="AI167" s="2045"/>
      <c r="AJ167" s="2045"/>
      <c r="AK167" s="2045"/>
      <c r="AL167" s="2045"/>
      <c r="AM167" s="2045"/>
      <c r="AN167" s="2045"/>
      <c r="AO167" s="2046"/>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7" t="s">
        <v>2275</v>
      </c>
      <c r="D168" s="2048"/>
      <c r="E168" s="2048"/>
      <c r="F168" s="2048"/>
      <c r="G168" s="2048"/>
      <c r="H168" s="2048"/>
      <c r="I168" s="2048" t="s">
        <v>2274</v>
      </c>
      <c r="J168" s="2048"/>
      <c r="K168" s="2048"/>
      <c r="L168" s="2048"/>
      <c r="M168" s="2048"/>
      <c r="N168" s="2049"/>
      <c r="O168" s="1208"/>
      <c r="P168" s="2050" t="s">
        <v>2273</v>
      </c>
      <c r="Q168" s="2051"/>
      <c r="R168" s="2051"/>
      <c r="S168" s="2051"/>
      <c r="T168" s="2051"/>
      <c r="U168" s="2051"/>
      <c r="V168" s="2051"/>
      <c r="W168" s="2051"/>
      <c r="X168" s="2051"/>
      <c r="Y168" s="2051"/>
      <c r="Z168" s="2051"/>
      <c r="AA168" s="2051"/>
      <c r="AB168" s="2051"/>
      <c r="AC168" s="2051"/>
      <c r="AD168" s="2051"/>
      <c r="AE168" s="2051"/>
      <c r="AF168" s="2051"/>
      <c r="AG168" s="2051"/>
      <c r="AH168" s="2051"/>
      <c r="AI168" s="2051"/>
      <c r="AJ168" s="2051"/>
      <c r="AK168" s="2051"/>
      <c r="AL168" s="2051"/>
      <c r="AM168" s="2051"/>
      <c r="AN168" s="2051"/>
      <c r="AO168" s="2052"/>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5"/>
      <c r="D169" s="1996"/>
      <c r="E169" s="1996"/>
      <c r="F169" s="1996"/>
      <c r="G169" s="1996"/>
      <c r="H169" s="1996"/>
      <c r="I169" s="2056"/>
      <c r="J169" s="2056"/>
      <c r="K169" s="2056"/>
      <c r="L169" s="2056"/>
      <c r="M169" s="2056"/>
      <c r="N169" s="2057"/>
      <c r="O169" s="1208"/>
      <c r="P169" s="2050"/>
      <c r="Q169" s="2051"/>
      <c r="R169" s="2051"/>
      <c r="S169" s="2051"/>
      <c r="T169" s="2051"/>
      <c r="U169" s="2051"/>
      <c r="V169" s="2051"/>
      <c r="W169" s="2051"/>
      <c r="X169" s="2051"/>
      <c r="Y169" s="2051"/>
      <c r="Z169" s="2051"/>
      <c r="AA169" s="2051"/>
      <c r="AB169" s="2051"/>
      <c r="AC169" s="2051"/>
      <c r="AD169" s="2051"/>
      <c r="AE169" s="2051"/>
      <c r="AF169" s="2051"/>
      <c r="AG169" s="2051"/>
      <c r="AH169" s="2051"/>
      <c r="AI169" s="2051"/>
      <c r="AJ169" s="2051"/>
      <c r="AK169" s="2051"/>
      <c r="AL169" s="2051"/>
      <c r="AM169" s="2051"/>
      <c r="AN169" s="2051"/>
      <c r="AO169" s="2052"/>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5"/>
      <c r="D170" s="1996"/>
      <c r="E170" s="1996"/>
      <c r="F170" s="1996"/>
      <c r="G170" s="1996"/>
      <c r="H170" s="1996"/>
      <c r="I170" s="2056"/>
      <c r="J170" s="2056"/>
      <c r="K170" s="2056"/>
      <c r="L170" s="2056"/>
      <c r="M170" s="2056"/>
      <c r="N170" s="2057"/>
      <c r="O170" s="1208"/>
      <c r="P170" s="2050"/>
      <c r="Q170" s="2051"/>
      <c r="R170" s="2051"/>
      <c r="S170" s="2051"/>
      <c r="T170" s="2051"/>
      <c r="U170" s="2051"/>
      <c r="V170" s="2051"/>
      <c r="W170" s="2051"/>
      <c r="X170" s="2051"/>
      <c r="Y170" s="2051"/>
      <c r="Z170" s="2051"/>
      <c r="AA170" s="2051"/>
      <c r="AB170" s="2051"/>
      <c r="AC170" s="2051"/>
      <c r="AD170" s="2051"/>
      <c r="AE170" s="2051"/>
      <c r="AF170" s="2051"/>
      <c r="AG170" s="2051"/>
      <c r="AH170" s="2051"/>
      <c r="AI170" s="2051"/>
      <c r="AJ170" s="2051"/>
      <c r="AK170" s="2051"/>
      <c r="AL170" s="2051"/>
      <c r="AM170" s="2051"/>
      <c r="AN170" s="2051"/>
      <c r="AO170" s="2052"/>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5"/>
      <c r="D171" s="1996"/>
      <c r="E171" s="1996"/>
      <c r="F171" s="1996"/>
      <c r="G171" s="1996"/>
      <c r="H171" s="1996"/>
      <c r="I171" s="2056"/>
      <c r="J171" s="2056"/>
      <c r="K171" s="2056"/>
      <c r="L171" s="2056"/>
      <c r="M171" s="2056"/>
      <c r="N171" s="2057"/>
      <c r="O171" s="1208"/>
      <c r="P171" s="2050"/>
      <c r="Q171" s="2051"/>
      <c r="R171" s="2051"/>
      <c r="S171" s="2051"/>
      <c r="T171" s="2051"/>
      <c r="U171" s="2051"/>
      <c r="V171" s="2051"/>
      <c r="W171" s="2051"/>
      <c r="X171" s="2051"/>
      <c r="Y171" s="2051"/>
      <c r="Z171" s="2051"/>
      <c r="AA171" s="2051"/>
      <c r="AB171" s="2051"/>
      <c r="AC171" s="2051"/>
      <c r="AD171" s="2051"/>
      <c r="AE171" s="2051"/>
      <c r="AF171" s="2051"/>
      <c r="AG171" s="2051"/>
      <c r="AH171" s="2051"/>
      <c r="AI171" s="2051"/>
      <c r="AJ171" s="2051"/>
      <c r="AK171" s="2051"/>
      <c r="AL171" s="2051"/>
      <c r="AM171" s="2051"/>
      <c r="AN171" s="2051"/>
      <c r="AO171" s="2052"/>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5"/>
      <c r="D172" s="1996"/>
      <c r="E172" s="1996"/>
      <c r="F172" s="1996"/>
      <c r="G172" s="1996"/>
      <c r="H172" s="1996"/>
      <c r="I172" s="2056"/>
      <c r="J172" s="2056"/>
      <c r="K172" s="2056"/>
      <c r="L172" s="2056"/>
      <c r="M172" s="2056"/>
      <c r="N172" s="2057"/>
      <c r="O172" s="1208"/>
      <c r="P172" s="2050"/>
      <c r="Q172" s="2051"/>
      <c r="R172" s="2051"/>
      <c r="S172" s="2051"/>
      <c r="T172" s="2051"/>
      <c r="U172" s="2051"/>
      <c r="V172" s="2051"/>
      <c r="W172" s="2051"/>
      <c r="X172" s="2051"/>
      <c r="Y172" s="2051"/>
      <c r="Z172" s="2051"/>
      <c r="AA172" s="2051"/>
      <c r="AB172" s="2051"/>
      <c r="AC172" s="2051"/>
      <c r="AD172" s="2051"/>
      <c r="AE172" s="2051"/>
      <c r="AF172" s="2051"/>
      <c r="AG172" s="2051"/>
      <c r="AH172" s="2051"/>
      <c r="AI172" s="2051"/>
      <c r="AJ172" s="2051"/>
      <c r="AK172" s="2051"/>
      <c r="AL172" s="2051"/>
      <c r="AM172" s="2051"/>
      <c r="AN172" s="2051"/>
      <c r="AO172" s="2052"/>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5"/>
      <c r="D173" s="1996"/>
      <c r="E173" s="1996"/>
      <c r="F173" s="1996"/>
      <c r="G173" s="1996"/>
      <c r="H173" s="1996"/>
      <c r="I173" s="2056"/>
      <c r="J173" s="2056"/>
      <c r="K173" s="2056"/>
      <c r="L173" s="2056"/>
      <c r="M173" s="2056"/>
      <c r="N173" s="2057"/>
      <c r="O173" s="1208"/>
      <c r="P173" s="2050"/>
      <c r="Q173" s="2051"/>
      <c r="R173" s="2051"/>
      <c r="S173" s="2051"/>
      <c r="T173" s="2051"/>
      <c r="U173" s="2051"/>
      <c r="V173" s="2051"/>
      <c r="W173" s="2051"/>
      <c r="X173" s="2051"/>
      <c r="Y173" s="2051"/>
      <c r="Z173" s="2051"/>
      <c r="AA173" s="2051"/>
      <c r="AB173" s="2051"/>
      <c r="AC173" s="2051"/>
      <c r="AD173" s="2051"/>
      <c r="AE173" s="2051"/>
      <c r="AF173" s="2051"/>
      <c r="AG173" s="2051"/>
      <c r="AH173" s="2051"/>
      <c r="AI173" s="2051"/>
      <c r="AJ173" s="2051"/>
      <c r="AK173" s="2051"/>
      <c r="AL173" s="2051"/>
      <c r="AM173" s="2051"/>
      <c r="AN173" s="2051"/>
      <c r="AO173" s="2052"/>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5"/>
      <c r="D174" s="1996"/>
      <c r="E174" s="1996"/>
      <c r="F174" s="1996"/>
      <c r="G174" s="1996"/>
      <c r="H174" s="1996"/>
      <c r="I174" s="2056"/>
      <c r="J174" s="2056"/>
      <c r="K174" s="2056"/>
      <c r="L174" s="2056"/>
      <c r="M174" s="2056"/>
      <c r="N174" s="2057"/>
      <c r="O174" s="1208"/>
      <c r="P174" s="2050"/>
      <c r="Q174" s="2051"/>
      <c r="R174" s="2051"/>
      <c r="S174" s="2051"/>
      <c r="T174" s="2051"/>
      <c r="U174" s="2051"/>
      <c r="V174" s="2051"/>
      <c r="W174" s="2051"/>
      <c r="X174" s="2051"/>
      <c r="Y174" s="2051"/>
      <c r="Z174" s="2051"/>
      <c r="AA174" s="2051"/>
      <c r="AB174" s="2051"/>
      <c r="AC174" s="2051"/>
      <c r="AD174" s="2051"/>
      <c r="AE174" s="2051"/>
      <c r="AF174" s="2051"/>
      <c r="AG174" s="2051"/>
      <c r="AH174" s="2051"/>
      <c r="AI174" s="2051"/>
      <c r="AJ174" s="2051"/>
      <c r="AK174" s="2051"/>
      <c r="AL174" s="2051"/>
      <c r="AM174" s="2051"/>
      <c r="AN174" s="2051"/>
      <c r="AO174" s="2052"/>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8"/>
      <c r="D175" s="2059"/>
      <c r="E175" s="2059"/>
      <c r="F175" s="2059"/>
      <c r="G175" s="2059"/>
      <c r="H175" s="2059"/>
      <c r="I175" s="2060"/>
      <c r="J175" s="2060"/>
      <c r="K175" s="2060"/>
      <c r="L175" s="2060"/>
      <c r="M175" s="2060"/>
      <c r="N175" s="2061"/>
      <c r="O175" s="1208"/>
      <c r="P175" s="2053"/>
      <c r="Q175" s="2054"/>
      <c r="R175" s="2054"/>
      <c r="S175" s="2054"/>
      <c r="T175" s="2054"/>
      <c r="U175" s="2054"/>
      <c r="V175" s="2054"/>
      <c r="W175" s="2054"/>
      <c r="X175" s="2054"/>
      <c r="Y175" s="2054"/>
      <c r="Z175" s="2054"/>
      <c r="AA175" s="2054"/>
      <c r="AB175" s="2054"/>
      <c r="AC175" s="2054"/>
      <c r="AD175" s="2054"/>
      <c r="AE175" s="2054"/>
      <c r="AF175" s="2054"/>
      <c r="AG175" s="2054"/>
      <c r="AH175" s="2054"/>
      <c r="AI175" s="2054"/>
      <c r="AJ175" s="2054"/>
      <c r="AK175" s="2054"/>
      <c r="AL175" s="2054"/>
      <c r="AM175" s="2054"/>
      <c r="AN175" s="2054"/>
      <c r="AO175" s="2055"/>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4" t="s">
        <v>2272</v>
      </c>
      <c r="D177" s="2025"/>
      <c r="E177" s="2025"/>
      <c r="F177" s="2025"/>
      <c r="G177" s="2025"/>
      <c r="H177" s="2025"/>
      <c r="I177" s="2025"/>
      <c r="J177" s="2025"/>
      <c r="K177" s="2025"/>
      <c r="L177" s="2025"/>
      <c r="M177" s="2025"/>
      <c r="N177" s="2025"/>
      <c r="O177" s="2025"/>
      <c r="P177" s="2025"/>
      <c r="Q177" s="2025"/>
      <c r="R177" s="2025"/>
      <c r="S177" s="2025"/>
      <c r="T177" s="2025"/>
      <c r="U177" s="2025"/>
      <c r="V177" s="2025"/>
      <c r="W177" s="2025"/>
      <c r="X177" s="2025"/>
      <c r="Y177" s="2025"/>
      <c r="Z177" s="2025"/>
      <c r="AA177" s="2025"/>
      <c r="AB177" s="2025"/>
      <c r="AC177" s="2025"/>
      <c r="AD177" s="2025"/>
      <c r="AE177" s="2026"/>
      <c r="AF177" s="1208"/>
      <c r="AG177" s="1208"/>
      <c r="AH177" s="1909"/>
      <c r="AI177" s="1909"/>
      <c r="AJ177" s="1909"/>
      <c r="AK177" s="1909"/>
      <c r="AL177" s="1909"/>
      <c r="AM177" s="1909"/>
      <c r="AN177" s="1909"/>
      <c r="AO177" s="1909"/>
      <c r="AP177" s="1909"/>
      <c r="AQ177" s="1909"/>
      <c r="AR177" s="1909"/>
      <c r="AS177" s="1909"/>
      <c r="AT177" s="1909"/>
      <c r="AU177" s="1909"/>
      <c r="AV177" s="1909"/>
      <c r="AW177" s="1909"/>
      <c r="AX177" s="1909"/>
      <c r="AY177" s="1909"/>
      <c r="AZ177" s="1909"/>
      <c r="BA177" s="1909"/>
      <c r="BB177" s="1909"/>
      <c r="BC177" s="1909"/>
      <c r="BD177" s="1909"/>
      <c r="BE177" s="1909"/>
    </row>
    <row r="178" spans="1:57" ht="15.75" customHeight="1" thickBot="1">
      <c r="A178" s="1208"/>
      <c r="B178" s="1208"/>
      <c r="C178" s="2027"/>
      <c r="D178" s="2028"/>
      <c r="E178" s="2028"/>
      <c r="F178" s="2028"/>
      <c r="G178" s="2028"/>
      <c r="H178" s="2028"/>
      <c r="I178" s="2028"/>
      <c r="J178" s="2028"/>
      <c r="K178" s="2028"/>
      <c r="L178" s="2028"/>
      <c r="M178" s="2028"/>
      <c r="N178" s="2028"/>
      <c r="O178" s="2028"/>
      <c r="P178" s="2028"/>
      <c r="Q178" s="2028"/>
      <c r="R178" s="2028"/>
      <c r="S178" s="2028"/>
      <c r="T178" s="2028"/>
      <c r="U178" s="2028"/>
      <c r="V178" s="2028"/>
      <c r="W178" s="2028"/>
      <c r="X178" s="2028"/>
      <c r="Y178" s="2028"/>
      <c r="Z178" s="2028"/>
      <c r="AA178" s="2028"/>
      <c r="AB178" s="2028"/>
      <c r="AC178" s="2028"/>
      <c r="AD178" s="2028"/>
      <c r="AE178" s="2029"/>
      <c r="AF178" s="1208"/>
      <c r="AG178" s="1208"/>
      <c r="AH178" s="1909"/>
      <c r="AI178" s="1909"/>
      <c r="AJ178" s="1909"/>
      <c r="AK178" s="1909"/>
      <c r="AL178" s="1909"/>
      <c r="AM178" s="1909"/>
      <c r="AN178" s="1909"/>
      <c r="AO178" s="1909"/>
      <c r="AP178" s="1909"/>
      <c r="AQ178" s="1909"/>
      <c r="AR178" s="1909"/>
      <c r="AS178" s="1909"/>
      <c r="AT178" s="1909"/>
      <c r="AU178" s="1909"/>
      <c r="AV178" s="1909"/>
      <c r="AW178" s="1909"/>
      <c r="AX178" s="1909"/>
      <c r="AY178" s="1909"/>
      <c r="AZ178" s="1909"/>
      <c r="BA178" s="1909"/>
      <c r="BB178" s="1909"/>
      <c r="BC178" s="1909"/>
      <c r="BD178" s="1909"/>
      <c r="BE178" s="1909"/>
    </row>
    <row r="179" spans="1:57" ht="15.75" customHeight="1">
      <c r="A179" s="1208"/>
      <c r="B179" s="1208"/>
      <c r="C179" s="2033" t="s">
        <v>2270</v>
      </c>
      <c r="D179" s="2034"/>
      <c r="E179" s="2034"/>
      <c r="F179" s="2034"/>
      <c r="G179" s="2034"/>
      <c r="H179" s="2034"/>
      <c r="I179" s="2034"/>
      <c r="J179" s="2034"/>
      <c r="K179" s="2034"/>
      <c r="L179" s="2034"/>
      <c r="M179" s="2034"/>
      <c r="N179" s="2034" t="s">
        <v>2271</v>
      </c>
      <c r="O179" s="2034"/>
      <c r="P179" s="2034"/>
      <c r="Q179" s="2034"/>
      <c r="R179" s="2034"/>
      <c r="S179" s="2034"/>
      <c r="T179" s="2034"/>
      <c r="U179" s="2035" t="s">
        <v>2270</v>
      </c>
      <c r="V179" s="2035"/>
      <c r="W179" s="2035"/>
      <c r="X179" s="2035"/>
      <c r="Y179" s="2035"/>
      <c r="Z179" s="2035"/>
      <c r="AA179" s="2035"/>
      <c r="AB179" s="2035"/>
      <c r="AC179" s="2035"/>
      <c r="AD179" s="2035"/>
      <c r="AE179" s="2036"/>
      <c r="AF179" s="1208"/>
      <c r="AG179" s="1208"/>
      <c r="AH179" s="1909"/>
      <c r="AI179" s="1909"/>
      <c r="AJ179" s="1909"/>
      <c r="AK179" s="1909"/>
      <c r="AL179" s="1909"/>
      <c r="AM179" s="1909"/>
      <c r="AN179" s="1909"/>
      <c r="AO179" s="1909"/>
      <c r="AP179" s="1909"/>
      <c r="AQ179" s="1909"/>
      <c r="AR179" s="1909"/>
      <c r="AS179" s="1909"/>
      <c r="AT179" s="1909"/>
      <c r="AU179" s="1909"/>
      <c r="AV179" s="1909"/>
      <c r="AW179" s="1909"/>
      <c r="AX179" s="1909"/>
      <c r="AY179" s="1909"/>
      <c r="AZ179" s="1909"/>
      <c r="BA179" s="1909"/>
      <c r="BB179" s="1909"/>
      <c r="BC179" s="1909"/>
      <c r="BD179" s="1909"/>
      <c r="BE179" s="1909"/>
    </row>
    <row r="180" spans="1:57" ht="15.75" customHeight="1">
      <c r="A180" s="1208"/>
      <c r="B180" s="1208"/>
      <c r="C180" s="2012" t="s">
        <v>2269</v>
      </c>
      <c r="D180" s="2013"/>
      <c r="E180" s="2013"/>
      <c r="F180" s="2013"/>
      <c r="G180" s="2013"/>
      <c r="H180" s="2013"/>
      <c r="I180" s="2013"/>
      <c r="J180" s="2013"/>
      <c r="K180" s="2013"/>
      <c r="L180" s="2013"/>
      <c r="M180" s="2013"/>
      <c r="N180" s="2023">
        <f>'Sources and Uses Budget'!B105</f>
        <v>57263747</v>
      </c>
      <c r="O180" s="2023"/>
      <c r="P180" s="2023"/>
      <c r="Q180" s="2023"/>
      <c r="R180" s="2023"/>
      <c r="S180" s="2023"/>
      <c r="T180" s="2023"/>
      <c r="U180" s="2037"/>
      <c r="V180" s="2037"/>
      <c r="W180" s="2037"/>
      <c r="X180" s="2037"/>
      <c r="Y180" s="2037"/>
      <c r="Z180" s="2037"/>
      <c r="AA180" s="2037"/>
      <c r="AB180" s="2037"/>
      <c r="AC180" s="2037"/>
      <c r="AD180" s="2037"/>
      <c r="AE180" s="2038"/>
      <c r="AF180" s="1208"/>
      <c r="AG180" s="1208"/>
      <c r="AH180" s="1909"/>
      <c r="AI180" s="1909"/>
      <c r="AJ180" s="1909"/>
      <c r="AK180" s="1909"/>
      <c r="AL180" s="1909"/>
      <c r="AM180" s="1909"/>
      <c r="AN180" s="1909"/>
      <c r="AO180" s="1909"/>
      <c r="AP180" s="1909"/>
      <c r="AQ180" s="1909"/>
      <c r="AR180" s="1909"/>
      <c r="AS180" s="1909"/>
      <c r="AT180" s="1909"/>
      <c r="AU180" s="1909"/>
      <c r="AV180" s="1909"/>
      <c r="AW180" s="1909"/>
      <c r="AX180" s="1909"/>
      <c r="AY180" s="1909"/>
      <c r="AZ180" s="1909"/>
      <c r="BA180" s="1909"/>
      <c r="BB180" s="1909"/>
      <c r="BC180" s="1909"/>
      <c r="BD180" s="1909"/>
      <c r="BE180" s="1909"/>
    </row>
    <row r="181" spans="1:57" ht="15.75" customHeight="1">
      <c r="A181" s="1208"/>
      <c r="B181" s="1208"/>
      <c r="C181" s="2012" t="s">
        <v>2268</v>
      </c>
      <c r="D181" s="2013"/>
      <c r="E181" s="2013"/>
      <c r="F181" s="2013"/>
      <c r="G181" s="2013"/>
      <c r="H181" s="2013"/>
      <c r="I181" s="2013"/>
      <c r="J181" s="2013"/>
      <c r="K181" s="2013"/>
      <c r="L181" s="2013"/>
      <c r="M181" s="2013"/>
      <c r="N181" s="2023">
        <f>N180/J29</f>
        <v>389549.29931972787</v>
      </c>
      <c r="O181" s="2023"/>
      <c r="P181" s="2023"/>
      <c r="Q181" s="2023"/>
      <c r="R181" s="2023"/>
      <c r="S181" s="2023"/>
      <c r="T181" s="2023"/>
      <c r="U181" s="1248"/>
      <c r="V181" s="1248"/>
      <c r="W181" s="1248"/>
      <c r="X181" s="1248"/>
      <c r="Y181" s="1248"/>
      <c r="Z181" s="1248"/>
      <c r="AA181" s="1248"/>
      <c r="AB181" s="1248"/>
      <c r="AC181" s="1248"/>
      <c r="AD181" s="1248"/>
      <c r="AE181" s="1249"/>
      <c r="AF181" s="1208"/>
      <c r="AG181" s="1208"/>
      <c r="AH181" s="1909"/>
      <c r="AI181" s="1909"/>
      <c r="AJ181" s="1909"/>
      <c r="AK181" s="1909"/>
      <c r="AL181" s="1909"/>
      <c r="AM181" s="1909"/>
      <c r="AN181" s="1909"/>
      <c r="AO181" s="1909"/>
      <c r="AP181" s="1909"/>
      <c r="AQ181" s="1909"/>
      <c r="AR181" s="1909"/>
      <c r="AS181" s="1909"/>
      <c r="AT181" s="1909"/>
      <c r="AU181" s="1909"/>
      <c r="AV181" s="1909"/>
      <c r="AW181" s="1909"/>
      <c r="AX181" s="1909"/>
      <c r="AY181" s="1909"/>
      <c r="AZ181" s="1909"/>
      <c r="BA181" s="1909"/>
      <c r="BB181" s="1909"/>
      <c r="BC181" s="1909"/>
      <c r="BD181" s="1909"/>
      <c r="BE181" s="1909"/>
    </row>
    <row r="182" spans="1:57" ht="15.75" customHeight="1">
      <c r="A182" s="1208"/>
      <c r="B182" s="1208"/>
      <c r="C182" s="2039" t="s">
        <v>2267</v>
      </c>
      <c r="D182" s="2040"/>
      <c r="E182" s="2040"/>
      <c r="F182" s="2040"/>
      <c r="G182" s="2040"/>
      <c r="H182" s="2040"/>
      <c r="I182" s="2040"/>
      <c r="J182" s="2040"/>
      <c r="K182" s="2040"/>
      <c r="L182" s="2040"/>
      <c r="M182" s="2040"/>
      <c r="N182" s="2041">
        <v>0</v>
      </c>
      <c r="O182" s="2041"/>
      <c r="P182" s="2041"/>
      <c r="Q182" s="2041"/>
      <c r="R182" s="2041"/>
      <c r="S182" s="2041"/>
      <c r="T182" s="2041"/>
      <c r="U182" s="1999"/>
      <c r="V182" s="1999"/>
      <c r="W182" s="1999"/>
      <c r="X182" s="1999"/>
      <c r="Y182" s="1999"/>
      <c r="Z182" s="1999"/>
      <c r="AA182" s="1999"/>
      <c r="AB182" s="1999"/>
      <c r="AC182" s="1999"/>
      <c r="AD182" s="1999"/>
      <c r="AE182" s="2000"/>
      <c r="AF182" s="1208"/>
      <c r="AG182" s="1208"/>
      <c r="AH182" s="1909"/>
      <c r="AI182" s="1909"/>
      <c r="AJ182" s="1909"/>
      <c r="AK182" s="1909"/>
      <c r="AL182" s="1909"/>
      <c r="AM182" s="1909"/>
      <c r="AN182" s="1909"/>
      <c r="AO182" s="1909"/>
      <c r="AP182" s="1909"/>
      <c r="AQ182" s="1909"/>
      <c r="AR182" s="1909"/>
      <c r="AS182" s="1909"/>
      <c r="AT182" s="1909"/>
      <c r="AU182" s="1909"/>
      <c r="AV182" s="1909"/>
      <c r="AW182" s="1909"/>
      <c r="AX182" s="1909"/>
      <c r="AY182" s="1909"/>
      <c r="AZ182" s="1909"/>
      <c r="BA182" s="1909"/>
      <c r="BB182" s="1909"/>
      <c r="BC182" s="1909"/>
      <c r="BD182" s="1909"/>
      <c r="BE182" s="1909"/>
    </row>
    <row r="183" spans="1:57" ht="15.75" customHeight="1" thickBot="1">
      <c r="A183" s="1208"/>
      <c r="B183" s="1208"/>
      <c r="C183" s="2012" t="s">
        <v>2266</v>
      </c>
      <c r="D183" s="2013"/>
      <c r="E183" s="2013"/>
      <c r="F183" s="2013"/>
      <c r="G183" s="2013"/>
      <c r="H183" s="2013"/>
      <c r="I183" s="2013"/>
      <c r="J183" s="2013"/>
      <c r="K183" s="2013"/>
      <c r="L183" s="2013"/>
      <c r="M183" s="2013"/>
      <c r="N183" s="2042">
        <f>SUM('Sources and Uses Budget'!B85:B86)</f>
        <v>1700566</v>
      </c>
      <c r="O183" s="2042"/>
      <c r="P183" s="2042"/>
      <c r="Q183" s="2042"/>
      <c r="R183" s="2042"/>
      <c r="S183" s="2042"/>
      <c r="T183" s="2042"/>
      <c r="U183" s="1999"/>
      <c r="V183" s="1999"/>
      <c r="W183" s="1999"/>
      <c r="X183" s="1999"/>
      <c r="Y183" s="1999"/>
      <c r="Z183" s="1999"/>
      <c r="AA183" s="1999"/>
      <c r="AB183" s="1999"/>
      <c r="AC183" s="1999"/>
      <c r="AD183" s="1999"/>
      <c r="AE183" s="2000"/>
      <c r="AF183" s="1208"/>
      <c r="AG183" s="1208"/>
      <c r="AH183" s="1909"/>
      <c r="AI183" s="1909"/>
      <c r="AJ183" s="1909"/>
      <c r="AK183" s="1909"/>
      <c r="AL183" s="1909"/>
      <c r="AM183" s="1909"/>
      <c r="AN183" s="1909"/>
      <c r="AO183" s="1909"/>
      <c r="AP183" s="1909"/>
      <c r="AQ183" s="1909"/>
      <c r="AR183" s="1909"/>
      <c r="AS183" s="1909"/>
      <c r="AT183" s="1909"/>
      <c r="AU183" s="1909"/>
      <c r="AV183" s="1909"/>
      <c r="AW183" s="1909"/>
      <c r="AX183" s="1909"/>
      <c r="AY183" s="1909"/>
      <c r="AZ183" s="1909"/>
      <c r="BA183" s="1909"/>
      <c r="BB183" s="1909"/>
      <c r="BC183" s="1909"/>
      <c r="BD183" s="1909"/>
      <c r="BE183" s="1909"/>
    </row>
    <row r="184" spans="1:57" ht="15.75" customHeight="1" thickBot="1">
      <c r="A184" s="1208"/>
      <c r="B184" s="1208"/>
      <c r="C184" s="2012" t="s">
        <v>2265</v>
      </c>
      <c r="D184" s="2013"/>
      <c r="E184" s="2013"/>
      <c r="F184" s="2013"/>
      <c r="G184" s="2013"/>
      <c r="H184" s="2013"/>
      <c r="I184" s="2013"/>
      <c r="J184" s="2013"/>
      <c r="K184" s="2013"/>
      <c r="L184" s="2013"/>
      <c r="M184" s="2013"/>
      <c r="N184" s="2042">
        <f>'Sources and Uses Budget'!B8</f>
        <v>0</v>
      </c>
      <c r="O184" s="2042"/>
      <c r="P184" s="2042"/>
      <c r="Q184" s="2042"/>
      <c r="R184" s="2042"/>
      <c r="S184" s="2042"/>
      <c r="T184" s="2042"/>
      <c r="U184" s="1999"/>
      <c r="V184" s="1999"/>
      <c r="W184" s="1999"/>
      <c r="X184" s="1999"/>
      <c r="Y184" s="1999"/>
      <c r="Z184" s="1999"/>
      <c r="AA184" s="1999"/>
      <c r="AB184" s="1999"/>
      <c r="AC184" s="1999"/>
      <c r="AD184" s="1999"/>
      <c r="AE184" s="2000"/>
      <c r="AF184" s="1208"/>
      <c r="AG184" s="1208"/>
      <c r="AH184" s="2009" t="s">
        <v>2263</v>
      </c>
      <c r="AI184" s="2010"/>
      <c r="AJ184" s="2010"/>
      <c r="AK184" s="2010"/>
      <c r="AL184" s="2010"/>
      <c r="AM184" s="2010"/>
      <c r="AN184" s="2010"/>
      <c r="AO184" s="2010"/>
      <c r="AP184" s="2010"/>
      <c r="AQ184" s="2010"/>
      <c r="AR184" s="2010"/>
      <c r="AS184" s="2010"/>
      <c r="AT184" s="2010"/>
      <c r="AU184" s="2010"/>
      <c r="AV184" s="2010"/>
      <c r="AW184" s="2010"/>
      <c r="AX184" s="2010"/>
      <c r="AY184" s="2010"/>
      <c r="AZ184" s="2010"/>
      <c r="BA184" s="2010"/>
      <c r="BB184" s="2010"/>
      <c r="BC184" s="2010"/>
      <c r="BD184" s="2010"/>
      <c r="BE184" s="2011"/>
    </row>
    <row r="185" spans="1:57" ht="15.75" customHeight="1">
      <c r="A185" s="1208"/>
      <c r="B185" s="1208"/>
      <c r="C185" s="2012" t="s">
        <v>2264</v>
      </c>
      <c r="D185" s="2013"/>
      <c r="E185" s="2013"/>
      <c r="F185" s="2013"/>
      <c r="G185" s="2013"/>
      <c r="H185" s="2013"/>
      <c r="I185" s="2013"/>
      <c r="J185" s="2013"/>
      <c r="K185" s="2013"/>
      <c r="L185" s="2013"/>
      <c r="M185" s="2013"/>
      <c r="N185" s="1998">
        <v>0</v>
      </c>
      <c r="O185" s="1998"/>
      <c r="P185" s="1998"/>
      <c r="Q185" s="1998"/>
      <c r="R185" s="1998"/>
      <c r="S185" s="1998"/>
      <c r="T185" s="1998"/>
      <c r="U185" s="1999"/>
      <c r="V185" s="1999"/>
      <c r="W185" s="1999"/>
      <c r="X185" s="1999"/>
      <c r="Y185" s="1999"/>
      <c r="Z185" s="1999"/>
      <c r="AA185" s="1999"/>
      <c r="AB185" s="1999"/>
      <c r="AC185" s="1999"/>
      <c r="AD185" s="1999"/>
      <c r="AE185" s="2000"/>
      <c r="AF185" s="1208"/>
      <c r="AG185" s="1208"/>
      <c r="AH185" s="2014" t="s">
        <v>2263</v>
      </c>
      <c r="AI185" s="2015"/>
      <c r="AJ185" s="2015"/>
      <c r="AK185" s="2015"/>
      <c r="AL185" s="2015"/>
      <c r="AM185" s="2015"/>
      <c r="AN185" s="2015"/>
      <c r="AO185" s="2015"/>
      <c r="AP185" s="2015"/>
      <c r="AQ185" s="2015"/>
      <c r="AR185" s="2015"/>
      <c r="AS185" s="2015"/>
      <c r="AT185" s="2015"/>
      <c r="AU185" s="2016">
        <v>0</v>
      </c>
      <c r="AV185" s="2016"/>
      <c r="AW185" s="2016"/>
      <c r="AX185" s="2016"/>
      <c r="AY185" s="2016"/>
      <c r="AZ185" s="2016"/>
      <c r="BA185" s="2016"/>
      <c r="BB185" s="2016"/>
      <c r="BC185" s="2017"/>
      <c r="BD185" s="2018"/>
      <c r="BE185" s="2019"/>
    </row>
    <row r="186" spans="1:57" ht="15.75" customHeight="1">
      <c r="A186" s="1208"/>
      <c r="B186" s="1208"/>
      <c r="C186" s="2012" t="s">
        <v>2262</v>
      </c>
      <c r="D186" s="2013"/>
      <c r="E186" s="2013"/>
      <c r="F186" s="2013"/>
      <c r="G186" s="2013"/>
      <c r="H186" s="2013"/>
      <c r="I186" s="2013"/>
      <c r="J186" s="2013"/>
      <c r="K186" s="2013"/>
      <c r="L186" s="2013"/>
      <c r="M186" s="2013"/>
      <c r="N186" s="1998">
        <v>0</v>
      </c>
      <c r="O186" s="1998"/>
      <c r="P186" s="1998"/>
      <c r="Q186" s="1998"/>
      <c r="R186" s="1998"/>
      <c r="S186" s="1998"/>
      <c r="T186" s="1998"/>
      <c r="U186" s="1999"/>
      <c r="V186" s="1999"/>
      <c r="W186" s="1999"/>
      <c r="X186" s="1999"/>
      <c r="Y186" s="1999"/>
      <c r="Z186" s="1999"/>
      <c r="AA186" s="1999"/>
      <c r="AB186" s="1999"/>
      <c r="AC186" s="1999"/>
      <c r="AD186" s="1999"/>
      <c r="AE186" s="2000"/>
      <c r="AF186" s="1208"/>
      <c r="AG186" s="1208"/>
      <c r="AH186" s="2030" t="s">
        <v>2261</v>
      </c>
      <c r="AI186" s="2031"/>
      <c r="AJ186" s="2031"/>
      <c r="AK186" s="2031"/>
      <c r="AL186" s="2031"/>
      <c r="AM186" s="2031"/>
      <c r="AN186" s="2031"/>
      <c r="AO186" s="2031"/>
      <c r="AP186" s="2031"/>
      <c r="AQ186" s="2031"/>
      <c r="AR186" s="2031"/>
      <c r="AS186" s="2031"/>
      <c r="AT186" s="2031"/>
      <c r="AU186" s="2032"/>
      <c r="AV186" s="2032"/>
      <c r="AW186" s="2032"/>
      <c r="AX186" s="2032"/>
      <c r="AY186" s="2032"/>
      <c r="AZ186" s="2032"/>
      <c r="BA186" s="2032"/>
      <c r="BB186" s="2032"/>
      <c r="BC186" s="2020"/>
      <c r="BD186" s="2021"/>
      <c r="BE186" s="2022"/>
    </row>
    <row r="187" spans="1:57" ht="15.75" customHeight="1">
      <c r="A187" s="1208"/>
      <c r="B187" s="1208"/>
      <c r="C187" s="2004" t="s">
        <v>300</v>
      </c>
      <c r="D187" s="2005"/>
      <c r="E187" s="1997" t="s">
        <v>2259</v>
      </c>
      <c r="F187" s="1997"/>
      <c r="G187" s="1997"/>
      <c r="H187" s="1997"/>
      <c r="I187" s="1997"/>
      <c r="J187" s="1997"/>
      <c r="K187" s="1997"/>
      <c r="L187" s="1997"/>
      <c r="M187" s="1997"/>
      <c r="N187" s="1998">
        <v>0</v>
      </c>
      <c r="O187" s="1998"/>
      <c r="P187" s="1998"/>
      <c r="Q187" s="1998"/>
      <c r="R187" s="1998"/>
      <c r="S187" s="1998"/>
      <c r="T187" s="1998"/>
      <c r="U187" s="1999"/>
      <c r="V187" s="1999"/>
      <c r="W187" s="1999"/>
      <c r="X187" s="1999"/>
      <c r="Y187" s="1999"/>
      <c r="Z187" s="1999"/>
      <c r="AA187" s="1999"/>
      <c r="AB187" s="1999"/>
      <c r="AC187" s="1999"/>
      <c r="AD187" s="1999"/>
      <c r="AE187" s="2000"/>
      <c r="AF187" s="1208"/>
      <c r="AG187" s="1208"/>
      <c r="AH187" s="2006" t="s">
        <v>2260</v>
      </c>
      <c r="AI187" s="2007"/>
      <c r="AJ187" s="2007"/>
      <c r="AK187" s="2007"/>
      <c r="AL187" s="2007"/>
      <c r="AM187" s="2007"/>
      <c r="AN187" s="2007"/>
      <c r="AO187" s="2007"/>
      <c r="AP187" s="2007"/>
      <c r="AQ187" s="2007"/>
      <c r="AR187" s="2007"/>
      <c r="AS187" s="2007"/>
      <c r="AT187" s="2007"/>
      <c r="AU187" s="2008">
        <f>SUM(AU185:BB186)</f>
        <v>0</v>
      </c>
      <c r="AV187" s="2008"/>
      <c r="AW187" s="2008"/>
      <c r="AX187" s="2008"/>
      <c r="AY187" s="2008"/>
      <c r="AZ187" s="2008"/>
      <c r="BA187" s="2008"/>
      <c r="BB187" s="2008"/>
      <c r="BC187" s="2020"/>
      <c r="BD187" s="2021"/>
      <c r="BE187" s="2022"/>
    </row>
    <row r="188" spans="1:57" ht="15.75" customHeight="1" thickBot="1">
      <c r="A188" s="1208"/>
      <c r="B188" s="1208"/>
      <c r="C188" s="1995" t="s">
        <v>300</v>
      </c>
      <c r="D188" s="1996"/>
      <c r="E188" s="1997" t="s">
        <v>2259</v>
      </c>
      <c r="F188" s="1997"/>
      <c r="G188" s="1997"/>
      <c r="H188" s="1997"/>
      <c r="I188" s="1997"/>
      <c r="J188" s="1997"/>
      <c r="K188" s="1997"/>
      <c r="L188" s="1997"/>
      <c r="M188" s="1997"/>
      <c r="N188" s="1998">
        <v>0</v>
      </c>
      <c r="O188" s="1998"/>
      <c r="P188" s="1998"/>
      <c r="Q188" s="1998"/>
      <c r="R188" s="1998"/>
      <c r="S188" s="1998"/>
      <c r="T188" s="1998"/>
      <c r="U188" s="1999"/>
      <c r="V188" s="1999"/>
      <c r="W188" s="1999"/>
      <c r="X188" s="1999"/>
      <c r="Y188" s="1999"/>
      <c r="Z188" s="1999"/>
      <c r="AA188" s="1999"/>
      <c r="AB188" s="1999"/>
      <c r="AC188" s="1999"/>
      <c r="AD188" s="1999"/>
      <c r="AE188" s="2000"/>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1"/>
      <c r="BD188" s="2002"/>
      <c r="BE188" s="2003"/>
    </row>
    <row r="189" spans="1:57" ht="15.75" customHeight="1" thickBot="1">
      <c r="A189" s="1208"/>
      <c r="B189" s="1208"/>
      <c r="C189" s="1983" t="s">
        <v>300</v>
      </c>
      <c r="D189" s="1984"/>
      <c r="E189" s="1985" t="s">
        <v>2259</v>
      </c>
      <c r="F189" s="1985"/>
      <c r="G189" s="1985"/>
      <c r="H189" s="1985"/>
      <c r="I189" s="1985"/>
      <c r="J189" s="1985"/>
      <c r="K189" s="1985"/>
      <c r="L189" s="1985"/>
      <c r="M189" s="1986"/>
      <c r="N189" s="1987">
        <v>0</v>
      </c>
      <c r="O189" s="1987"/>
      <c r="P189" s="1987"/>
      <c r="Q189" s="1987"/>
      <c r="R189" s="1987"/>
      <c r="S189" s="1987"/>
      <c r="T189" s="1988"/>
      <c r="U189" s="1989"/>
      <c r="V189" s="1990"/>
      <c r="W189" s="1990"/>
      <c r="X189" s="1990"/>
      <c r="Y189" s="1990"/>
      <c r="Z189" s="1990"/>
      <c r="AA189" s="1990"/>
      <c r="AB189" s="1990"/>
      <c r="AC189" s="1990"/>
      <c r="AD189" s="1990"/>
      <c r="AE189" s="1991"/>
      <c r="AF189" s="1208"/>
      <c r="AG189" s="1208"/>
      <c r="AH189" s="1992" t="s">
        <v>2258</v>
      </c>
      <c r="AI189" s="1993"/>
      <c r="AJ189" s="1993"/>
      <c r="AK189" s="1993"/>
      <c r="AL189" s="1993"/>
      <c r="AM189" s="1993"/>
      <c r="AN189" s="1993"/>
      <c r="AO189" s="1993"/>
      <c r="AP189" s="1993"/>
      <c r="AQ189" s="1993"/>
      <c r="AR189" s="1993"/>
      <c r="AS189" s="1993"/>
      <c r="AT189" s="1993"/>
      <c r="AU189" s="1994"/>
      <c r="AV189" s="1994"/>
      <c r="AW189" s="1994"/>
      <c r="AX189" s="1994"/>
      <c r="AY189" s="1994"/>
      <c r="AZ189" s="1994"/>
      <c r="BA189" s="1994"/>
      <c r="BB189" s="1994"/>
      <c r="BC189" s="1164"/>
      <c r="BD189" s="1164"/>
      <c r="BE189" s="1252"/>
    </row>
    <row r="190" spans="1:57" ht="15.75" customHeight="1">
      <c r="A190" s="1208"/>
      <c r="B190" s="1208"/>
      <c r="C190" s="1966" t="s">
        <v>2257</v>
      </c>
      <c r="D190" s="1967"/>
      <c r="E190" s="1967"/>
      <c r="F190" s="1967"/>
      <c r="G190" s="1967"/>
      <c r="H190" s="1967"/>
      <c r="I190" s="1967"/>
      <c r="J190" s="1967"/>
      <c r="K190" s="1967"/>
      <c r="L190" s="1967"/>
      <c r="M190" s="1967"/>
      <c r="N190" s="1968">
        <f>SUM(N182:T189)</f>
        <v>1700566</v>
      </c>
      <c r="O190" s="1968"/>
      <c r="P190" s="1968"/>
      <c r="Q190" s="1968"/>
      <c r="R190" s="1968"/>
      <c r="S190" s="1968"/>
      <c r="T190" s="1969"/>
      <c r="U190" s="1208"/>
      <c r="V190" s="1208"/>
      <c r="W190" s="1208"/>
      <c r="X190" s="1208"/>
      <c r="Y190" s="1208"/>
      <c r="Z190" s="1208"/>
      <c r="AA190" s="1208"/>
      <c r="AB190" s="1208"/>
      <c r="AC190" s="1208"/>
      <c r="AD190" s="1208"/>
      <c r="AE190" s="1208"/>
      <c r="AF190" s="1208"/>
      <c r="AG190" s="1208"/>
      <c r="AH190" s="1970" t="s">
        <v>2256</v>
      </c>
      <c r="AI190" s="1971"/>
      <c r="AJ190" s="1971"/>
      <c r="AK190" s="1971"/>
      <c r="AL190" s="1971"/>
      <c r="AM190" s="1971"/>
      <c r="AN190" s="1971"/>
      <c r="AO190" s="1971"/>
      <c r="AP190" s="1971"/>
      <c r="AQ190" s="1971"/>
      <c r="AR190" s="1971"/>
      <c r="AS190" s="1971"/>
      <c r="AT190" s="1971"/>
      <c r="AU190" s="1971"/>
      <c r="AV190" s="1971"/>
      <c r="AW190" s="1971"/>
      <c r="AX190" s="1971"/>
      <c r="AY190" s="1971"/>
      <c r="AZ190" s="1971"/>
      <c r="BA190" s="1971"/>
      <c r="BB190" s="1971"/>
      <c r="BC190" s="1971"/>
      <c r="BD190" s="1971"/>
      <c r="BE190" s="1972"/>
    </row>
    <row r="191" spans="1:57" ht="15.75" customHeight="1" thickBot="1">
      <c r="A191" s="1208"/>
      <c r="B191" s="1208"/>
      <c r="C191" s="1976" t="s">
        <v>2255</v>
      </c>
      <c r="D191" s="1977"/>
      <c r="E191" s="1977"/>
      <c r="F191" s="1977"/>
      <c r="G191" s="1977"/>
      <c r="H191" s="1977"/>
      <c r="I191" s="1977"/>
      <c r="J191" s="1977"/>
      <c r="K191" s="1977"/>
      <c r="L191" s="1977"/>
      <c r="M191" s="1977"/>
      <c r="N191" s="1978">
        <f>(N180-N190)/J29</f>
        <v>377980.82312925172</v>
      </c>
      <c r="O191" s="1979"/>
      <c r="P191" s="1979"/>
      <c r="Q191" s="1979"/>
      <c r="R191" s="1979"/>
      <c r="S191" s="1979"/>
      <c r="T191" s="1980"/>
      <c r="U191" s="1216"/>
      <c r="V191" s="1208"/>
      <c r="W191" s="1208"/>
      <c r="X191" s="1208"/>
      <c r="Y191" s="1208"/>
      <c r="Z191" s="1208"/>
      <c r="AA191" s="1208"/>
      <c r="AB191" s="1208"/>
      <c r="AC191" s="1208"/>
      <c r="AD191" s="1208"/>
      <c r="AE191" s="1208"/>
      <c r="AF191" s="1208"/>
      <c r="AG191" s="1208"/>
      <c r="AH191" s="1973"/>
      <c r="AI191" s="1974"/>
      <c r="AJ191" s="1974"/>
      <c r="AK191" s="1974"/>
      <c r="AL191" s="1974"/>
      <c r="AM191" s="1974"/>
      <c r="AN191" s="1974"/>
      <c r="AO191" s="1974"/>
      <c r="AP191" s="1974"/>
      <c r="AQ191" s="1974"/>
      <c r="AR191" s="1974"/>
      <c r="AS191" s="1974"/>
      <c r="AT191" s="1974"/>
      <c r="AU191" s="1974"/>
      <c r="AV191" s="1974"/>
      <c r="AW191" s="1974"/>
      <c r="AX191" s="1974"/>
      <c r="AY191" s="1974"/>
      <c r="AZ191" s="1974"/>
      <c r="BA191" s="1974"/>
      <c r="BB191" s="1974"/>
      <c r="BC191" s="1974"/>
      <c r="BD191" s="1974"/>
      <c r="BE191" s="1975"/>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1"/>
      <c r="AI192" s="1981"/>
      <c r="AJ192" s="1981"/>
      <c r="AK192" s="1981"/>
      <c r="AL192" s="1981"/>
      <c r="AM192" s="1981"/>
      <c r="AN192" s="1981"/>
      <c r="AO192" s="1981"/>
      <c r="AP192" s="1981"/>
      <c r="AQ192" s="1981"/>
      <c r="AR192" s="1981"/>
      <c r="AS192" s="1982"/>
      <c r="AT192" s="1982"/>
      <c r="AU192" s="1982"/>
      <c r="AV192" s="1982"/>
      <c r="AW192" s="1982"/>
      <c r="AX192" s="1982"/>
      <c r="AY192" s="1982"/>
      <c r="AZ192" s="1982"/>
      <c r="BA192" s="1982"/>
      <c r="BB192" s="1982"/>
      <c r="BC192" s="1982"/>
      <c r="BD192" s="1982"/>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1" t="s">
        <v>2254</v>
      </c>
      <c r="D194" s="1962"/>
      <c r="E194" s="1962"/>
      <c r="F194" s="1962"/>
      <c r="G194" s="1962"/>
      <c r="H194" s="1962"/>
      <c r="I194" s="1962"/>
      <c r="J194" s="1962"/>
      <c r="K194" s="1962"/>
      <c r="L194" s="1962"/>
      <c r="M194" s="1962"/>
      <c r="N194" s="1962"/>
      <c r="O194" s="1962"/>
      <c r="P194" s="1962"/>
      <c r="Q194" s="1962"/>
      <c r="R194" s="1962"/>
      <c r="S194" s="1962"/>
      <c r="T194" s="1962"/>
      <c r="U194" s="1962"/>
      <c r="V194" s="1962"/>
      <c r="W194" s="1962"/>
      <c r="X194" s="1962"/>
      <c r="Y194" s="1962"/>
      <c r="Z194" s="1962"/>
      <c r="AA194" s="1962"/>
      <c r="AB194" s="1962"/>
      <c r="AC194" s="1962"/>
      <c r="AD194" s="1962"/>
      <c r="AE194" s="1963"/>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4" t="s">
        <v>2253</v>
      </c>
      <c r="D195" s="1964"/>
      <c r="E195" s="1964"/>
      <c r="F195" s="1964"/>
      <c r="G195" s="1964"/>
      <c r="H195" s="1964"/>
      <c r="I195" s="1964"/>
      <c r="J195" s="1964"/>
      <c r="K195" s="1964"/>
      <c r="L195" s="1964"/>
      <c r="M195" s="1964"/>
      <c r="N195" s="1964"/>
      <c r="O195" s="1965" t="s">
        <v>2252</v>
      </c>
      <c r="P195" s="1965"/>
      <c r="Q195" s="1965"/>
      <c r="R195" s="1965"/>
      <c r="S195" s="1965"/>
      <c r="T195" s="1965"/>
      <c r="U195" s="1965"/>
      <c r="V195" s="1965"/>
      <c r="W195" s="1965"/>
      <c r="X195" s="1965" t="s">
        <v>2251</v>
      </c>
      <c r="Y195" s="1965"/>
      <c r="Z195" s="1965"/>
      <c r="AA195" s="1965"/>
      <c r="AB195" s="1965"/>
      <c r="AC195" s="1965"/>
      <c r="AD195" s="1965"/>
      <c r="AE195" s="1965"/>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6" t="s">
        <v>2250</v>
      </c>
      <c r="D196" s="1956"/>
      <c r="E196" s="1956"/>
      <c r="F196" s="1956"/>
      <c r="G196" s="1956"/>
      <c r="H196" s="1956"/>
      <c r="I196" s="1956"/>
      <c r="J196" s="1956"/>
      <c r="K196" s="1956"/>
      <c r="L196" s="1956"/>
      <c r="M196" s="1956"/>
      <c r="N196" s="1956"/>
      <c r="O196" s="1957" t="s">
        <v>2249</v>
      </c>
      <c r="P196" s="1957"/>
      <c r="Q196" s="1957"/>
      <c r="R196" s="1957"/>
      <c r="S196" s="1957"/>
      <c r="T196" s="1957"/>
      <c r="U196" s="1957"/>
      <c r="V196" s="1957"/>
      <c r="W196" s="1957"/>
      <c r="X196" s="1958">
        <v>0.03</v>
      </c>
      <c r="Y196" s="1958"/>
      <c r="Z196" s="1958"/>
      <c r="AA196" s="1958"/>
      <c r="AB196" s="1958"/>
      <c r="AC196" s="1958"/>
      <c r="AD196" s="1958"/>
      <c r="AE196" s="195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6" t="s">
        <v>854</v>
      </c>
      <c r="D197" s="1956"/>
      <c r="E197" s="1956"/>
      <c r="F197" s="1956"/>
      <c r="G197" s="1956"/>
      <c r="H197" s="1956"/>
      <c r="I197" s="1956"/>
      <c r="J197" s="1956"/>
      <c r="K197" s="1956"/>
      <c r="L197" s="1956"/>
      <c r="M197" s="1956"/>
      <c r="N197" s="1956"/>
      <c r="O197" s="1957" t="s">
        <v>2249</v>
      </c>
      <c r="P197" s="1957"/>
      <c r="Q197" s="1957"/>
      <c r="R197" s="1957"/>
      <c r="S197" s="1957"/>
      <c r="T197" s="1957"/>
      <c r="U197" s="1957"/>
      <c r="V197" s="1957"/>
      <c r="W197" s="1957"/>
      <c r="X197" s="1958">
        <v>0.03</v>
      </c>
      <c r="Y197" s="1958"/>
      <c r="Z197" s="1958"/>
      <c r="AA197" s="1958"/>
      <c r="AB197" s="1958"/>
      <c r="AC197" s="1958"/>
      <c r="AD197" s="1958"/>
      <c r="AE197" s="1958"/>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6" t="s">
        <v>2248</v>
      </c>
      <c r="D198" s="1956"/>
      <c r="E198" s="1956"/>
      <c r="F198" s="1956"/>
      <c r="G198" s="1956"/>
      <c r="H198" s="1956"/>
      <c r="I198" s="1956"/>
      <c r="J198" s="1956"/>
      <c r="K198" s="1956"/>
      <c r="L198" s="1956"/>
      <c r="M198" s="1956"/>
      <c r="N198" s="1956"/>
      <c r="O198" s="1959">
        <f>SUM(O196:W197)</f>
        <v>0</v>
      </c>
      <c r="P198" s="1960"/>
      <c r="Q198" s="1960"/>
      <c r="R198" s="1960"/>
      <c r="S198" s="1960"/>
      <c r="T198" s="1960"/>
      <c r="U198" s="1960"/>
      <c r="V198" s="1960"/>
      <c r="W198" s="1960"/>
      <c r="X198" s="1960" t="s">
        <v>2247</v>
      </c>
      <c r="Y198" s="1960"/>
      <c r="Z198" s="1960"/>
      <c r="AA198" s="1960"/>
      <c r="AB198" s="1960"/>
      <c r="AC198" s="1960"/>
      <c r="AD198" s="1960"/>
      <c r="AE198" s="1960"/>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0" t="s">
        <v>2246</v>
      </c>
      <c r="D199" s="1930"/>
      <c r="E199" s="1930"/>
      <c r="F199" s="1930"/>
      <c r="G199" s="1930"/>
      <c r="H199" s="1930"/>
      <c r="I199" s="1930"/>
      <c r="J199" s="1930"/>
      <c r="K199" s="1930"/>
      <c r="L199" s="1930"/>
      <c r="M199" s="1930"/>
      <c r="N199" s="1930"/>
      <c r="O199" s="1930"/>
      <c r="P199" s="1930"/>
      <c r="Q199" s="1930"/>
      <c r="R199" s="1930"/>
      <c r="S199" s="1930"/>
      <c r="T199" s="1930"/>
      <c r="U199" s="1930"/>
      <c r="V199" s="1930"/>
      <c r="W199" s="1930"/>
      <c r="X199" s="1930"/>
      <c r="Y199" s="1930"/>
      <c r="Z199" s="1930"/>
      <c r="AA199" s="1930"/>
      <c r="AB199" s="1930"/>
      <c r="AC199" s="1930"/>
      <c r="AD199" s="1930"/>
      <c r="AE199" s="1930"/>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1" t="s">
        <v>2245</v>
      </c>
      <c r="D201" s="1932"/>
      <c r="E201" s="1932"/>
      <c r="F201" s="1932"/>
      <c r="G201" s="1932"/>
      <c r="H201" s="1932"/>
      <c r="I201" s="1932"/>
      <c r="J201" s="1932"/>
      <c r="K201" s="1932"/>
      <c r="L201" s="1932"/>
      <c r="M201" s="1932"/>
      <c r="N201" s="1932"/>
      <c r="O201" s="1932"/>
      <c r="P201" s="1932"/>
      <c r="Q201" s="1932"/>
      <c r="R201" s="1932"/>
      <c r="S201" s="1932"/>
      <c r="T201" s="1932"/>
      <c r="U201" s="1932"/>
      <c r="V201" s="1932"/>
      <c r="W201" s="1932"/>
      <c r="X201" s="1932"/>
      <c r="Y201" s="1932"/>
      <c r="Z201" s="1932"/>
      <c r="AA201" s="1932"/>
      <c r="AB201" s="1932"/>
      <c r="AC201" s="1932"/>
      <c r="AD201" s="1932"/>
      <c r="AE201" s="1932"/>
      <c r="AF201" s="1932"/>
      <c r="AG201" s="1932"/>
      <c r="AH201" s="1932"/>
      <c r="AI201" s="1932"/>
      <c r="AJ201" s="1932"/>
      <c r="AK201" s="1933"/>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4" t="s">
        <v>2244</v>
      </c>
      <c r="D202" s="1935"/>
      <c r="E202" s="1935"/>
      <c r="F202" s="1936"/>
      <c r="G202" s="1940" t="s">
        <v>2243</v>
      </c>
      <c r="H202" s="1935"/>
      <c r="I202" s="1935"/>
      <c r="J202" s="1935"/>
      <c r="K202" s="1935"/>
      <c r="L202" s="1935"/>
      <c r="M202" s="1935"/>
      <c r="N202" s="1935"/>
      <c r="O202" s="1936"/>
      <c r="P202" s="1942" t="s">
        <v>2242</v>
      </c>
      <c r="Q202" s="1943"/>
      <c r="R202" s="1943"/>
      <c r="S202" s="1943"/>
      <c r="T202" s="1944"/>
      <c r="U202" s="1948" t="s">
        <v>2241</v>
      </c>
      <c r="V202" s="1949"/>
      <c r="W202" s="1949"/>
      <c r="X202" s="1950"/>
      <c r="Y202" s="1948" t="s">
        <v>2240</v>
      </c>
      <c r="Z202" s="1949"/>
      <c r="AA202" s="1949"/>
      <c r="AB202" s="1950"/>
      <c r="AC202" s="1948" t="s">
        <v>2239</v>
      </c>
      <c r="AD202" s="1949"/>
      <c r="AE202" s="1949"/>
      <c r="AF202" s="1950"/>
      <c r="AG202" s="1940" t="s">
        <v>2238</v>
      </c>
      <c r="AH202" s="1935"/>
      <c r="AI202" s="1935"/>
      <c r="AJ202" s="1935"/>
      <c r="AK202" s="1954"/>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7"/>
      <c r="D203" s="1938"/>
      <c r="E203" s="1938"/>
      <c r="F203" s="1939"/>
      <c r="G203" s="1941"/>
      <c r="H203" s="1938"/>
      <c r="I203" s="1938"/>
      <c r="J203" s="1938"/>
      <c r="K203" s="1938"/>
      <c r="L203" s="1938"/>
      <c r="M203" s="1938"/>
      <c r="N203" s="1938"/>
      <c r="O203" s="1939"/>
      <c r="P203" s="1945"/>
      <c r="Q203" s="1946"/>
      <c r="R203" s="1946"/>
      <c r="S203" s="1946"/>
      <c r="T203" s="1947"/>
      <c r="U203" s="1951"/>
      <c r="V203" s="1952"/>
      <c r="W203" s="1952"/>
      <c r="X203" s="1953"/>
      <c r="Y203" s="1951"/>
      <c r="Z203" s="1952"/>
      <c r="AA203" s="1952"/>
      <c r="AB203" s="1953"/>
      <c r="AC203" s="1951"/>
      <c r="AD203" s="1952"/>
      <c r="AE203" s="1952"/>
      <c r="AF203" s="1953"/>
      <c r="AG203" s="1941"/>
      <c r="AH203" s="1938"/>
      <c r="AI203" s="1938"/>
      <c r="AJ203" s="1938"/>
      <c r="AK203" s="1955"/>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3">
        <v>1</v>
      </c>
      <c r="D204" s="1924"/>
      <c r="E204" s="1924"/>
      <c r="F204" s="1924"/>
      <c r="G204" s="1925" t="s">
        <v>1858</v>
      </c>
      <c r="H204" s="1925"/>
      <c r="I204" s="1925"/>
      <c r="J204" s="1925"/>
      <c r="K204" s="1925"/>
      <c r="L204" s="1925"/>
      <c r="M204" s="1925"/>
      <c r="N204" s="1925"/>
      <c r="O204" s="1925"/>
      <c r="P204" s="1926"/>
      <c r="Q204" s="1929"/>
      <c r="R204" s="1929"/>
      <c r="S204" s="1929"/>
      <c r="T204" s="1929"/>
      <c r="U204" s="1927" t="s">
        <v>1858</v>
      </c>
      <c r="V204" s="1927"/>
      <c r="W204" s="1927"/>
      <c r="X204" s="1927"/>
      <c r="Y204" s="1927" t="s">
        <v>1858</v>
      </c>
      <c r="Z204" s="1927"/>
      <c r="AA204" s="1927"/>
      <c r="AB204" s="1927"/>
      <c r="AC204" s="1928" t="s">
        <v>1858</v>
      </c>
      <c r="AD204" s="1928"/>
      <c r="AE204" s="1928"/>
      <c r="AF204" s="1928"/>
      <c r="AG204" s="1912"/>
      <c r="AH204" s="1913"/>
      <c r="AI204" s="1913"/>
      <c r="AJ204" s="1913"/>
      <c r="AK204" s="1914"/>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3">
        <v>2</v>
      </c>
      <c r="D205" s="1924"/>
      <c r="E205" s="1924"/>
      <c r="F205" s="1924"/>
      <c r="G205" s="1925" t="s">
        <v>1858</v>
      </c>
      <c r="H205" s="1925"/>
      <c r="I205" s="1925"/>
      <c r="J205" s="1925"/>
      <c r="K205" s="1925"/>
      <c r="L205" s="1925"/>
      <c r="M205" s="1925"/>
      <c r="N205" s="1925"/>
      <c r="O205" s="1925"/>
      <c r="P205" s="1926"/>
      <c r="Q205" s="1926"/>
      <c r="R205" s="1926"/>
      <c r="S205" s="1926"/>
      <c r="T205" s="1926"/>
      <c r="U205" s="1927" t="s">
        <v>1858</v>
      </c>
      <c r="V205" s="1927"/>
      <c r="W205" s="1927"/>
      <c r="X205" s="1927"/>
      <c r="Y205" s="1927" t="s">
        <v>1858</v>
      </c>
      <c r="Z205" s="1927"/>
      <c r="AA205" s="1927"/>
      <c r="AB205" s="1927"/>
      <c r="AC205" s="1928" t="s">
        <v>1858</v>
      </c>
      <c r="AD205" s="1928"/>
      <c r="AE205" s="1928"/>
      <c r="AF205" s="1928"/>
      <c r="AG205" s="1912"/>
      <c r="AH205" s="1913"/>
      <c r="AI205" s="1913"/>
      <c r="AJ205" s="1913"/>
      <c r="AK205" s="1914"/>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3">
        <v>3</v>
      </c>
      <c r="D206" s="1924"/>
      <c r="E206" s="1924"/>
      <c r="F206" s="1924"/>
      <c r="G206" s="1925" t="s">
        <v>1858</v>
      </c>
      <c r="H206" s="1925"/>
      <c r="I206" s="1925"/>
      <c r="J206" s="1925"/>
      <c r="K206" s="1925"/>
      <c r="L206" s="1925"/>
      <c r="M206" s="1925"/>
      <c r="N206" s="1925"/>
      <c r="O206" s="1925"/>
      <c r="P206" s="1926"/>
      <c r="Q206" s="1926"/>
      <c r="R206" s="1926"/>
      <c r="S206" s="1926"/>
      <c r="T206" s="1926"/>
      <c r="U206" s="1927" t="s">
        <v>1858</v>
      </c>
      <c r="V206" s="1927"/>
      <c r="W206" s="1927"/>
      <c r="X206" s="1927"/>
      <c r="Y206" s="1927" t="s">
        <v>1858</v>
      </c>
      <c r="Z206" s="1927"/>
      <c r="AA206" s="1927"/>
      <c r="AB206" s="1927"/>
      <c r="AC206" s="1928" t="s">
        <v>1858</v>
      </c>
      <c r="AD206" s="1928"/>
      <c r="AE206" s="1928"/>
      <c r="AF206" s="1928"/>
      <c r="AG206" s="1912"/>
      <c r="AH206" s="1913"/>
      <c r="AI206" s="1913"/>
      <c r="AJ206" s="1913"/>
      <c r="AK206" s="1914"/>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3">
        <v>4</v>
      </c>
      <c r="D207" s="1924"/>
      <c r="E207" s="1924"/>
      <c r="F207" s="1924"/>
      <c r="G207" s="1925" t="s">
        <v>1858</v>
      </c>
      <c r="H207" s="1925"/>
      <c r="I207" s="1925"/>
      <c r="J207" s="1925"/>
      <c r="K207" s="1925"/>
      <c r="L207" s="1925"/>
      <c r="M207" s="1925"/>
      <c r="N207" s="1925"/>
      <c r="O207" s="1925"/>
      <c r="P207" s="1926"/>
      <c r="Q207" s="1926"/>
      <c r="R207" s="1926"/>
      <c r="S207" s="1926"/>
      <c r="T207" s="1926"/>
      <c r="U207" s="1927" t="s">
        <v>1858</v>
      </c>
      <c r="V207" s="1927"/>
      <c r="W207" s="1927"/>
      <c r="X207" s="1927"/>
      <c r="Y207" s="1927" t="s">
        <v>1858</v>
      </c>
      <c r="Z207" s="1927"/>
      <c r="AA207" s="1927"/>
      <c r="AB207" s="1927"/>
      <c r="AC207" s="1928" t="s">
        <v>1858</v>
      </c>
      <c r="AD207" s="1928"/>
      <c r="AE207" s="1928"/>
      <c r="AF207" s="1928"/>
      <c r="AG207" s="1912"/>
      <c r="AH207" s="1913"/>
      <c r="AI207" s="1913"/>
      <c r="AJ207" s="1913"/>
      <c r="AK207" s="1914"/>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3">
        <v>5</v>
      </c>
      <c r="D208" s="1924"/>
      <c r="E208" s="1924"/>
      <c r="F208" s="1924"/>
      <c r="G208" s="1925" t="s">
        <v>1858</v>
      </c>
      <c r="H208" s="1925"/>
      <c r="I208" s="1925"/>
      <c r="J208" s="1925"/>
      <c r="K208" s="1925"/>
      <c r="L208" s="1925"/>
      <c r="M208" s="1925"/>
      <c r="N208" s="1925"/>
      <c r="O208" s="1925"/>
      <c r="P208" s="1926"/>
      <c r="Q208" s="1926"/>
      <c r="R208" s="1926"/>
      <c r="S208" s="1926"/>
      <c r="T208" s="1926"/>
      <c r="U208" s="1927" t="s">
        <v>1858</v>
      </c>
      <c r="V208" s="1927"/>
      <c r="W208" s="1927"/>
      <c r="X208" s="1927"/>
      <c r="Y208" s="1927" t="s">
        <v>1858</v>
      </c>
      <c r="Z208" s="1927"/>
      <c r="AA208" s="1927"/>
      <c r="AB208" s="1927"/>
      <c r="AC208" s="1928" t="s">
        <v>1858</v>
      </c>
      <c r="AD208" s="1928"/>
      <c r="AE208" s="1928"/>
      <c r="AF208" s="1928"/>
      <c r="AG208" s="1912"/>
      <c r="AH208" s="1913"/>
      <c r="AI208" s="1913"/>
      <c r="AJ208" s="1913"/>
      <c r="AK208" s="1914"/>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3">
        <v>6</v>
      </c>
      <c r="D209" s="1924"/>
      <c r="E209" s="1924"/>
      <c r="F209" s="1924"/>
      <c r="G209" s="1925" t="s">
        <v>1858</v>
      </c>
      <c r="H209" s="1925"/>
      <c r="I209" s="1925"/>
      <c r="J209" s="1925"/>
      <c r="K209" s="1925"/>
      <c r="L209" s="1925"/>
      <c r="M209" s="1925"/>
      <c r="N209" s="1925"/>
      <c r="O209" s="1925"/>
      <c r="P209" s="1926"/>
      <c r="Q209" s="1926"/>
      <c r="R209" s="1926"/>
      <c r="S209" s="1926"/>
      <c r="T209" s="1926"/>
      <c r="U209" s="1927"/>
      <c r="V209" s="1927"/>
      <c r="W209" s="1927"/>
      <c r="X209" s="1927"/>
      <c r="Y209" s="1927"/>
      <c r="Z209" s="1927"/>
      <c r="AA209" s="1927"/>
      <c r="AB209" s="1927"/>
      <c r="AC209" s="1928" t="s">
        <v>1858</v>
      </c>
      <c r="AD209" s="1928"/>
      <c r="AE209" s="1928"/>
      <c r="AF209" s="1928"/>
      <c r="AG209" s="1912"/>
      <c r="AH209" s="1913"/>
      <c r="AI209" s="1913"/>
      <c r="AJ209" s="1913"/>
      <c r="AK209" s="1914"/>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3">
        <v>7</v>
      </c>
      <c r="D210" s="1924"/>
      <c r="E210" s="1924"/>
      <c r="F210" s="1924"/>
      <c r="G210" s="1925"/>
      <c r="H210" s="1925"/>
      <c r="I210" s="1925"/>
      <c r="J210" s="1925"/>
      <c r="K210" s="1925"/>
      <c r="L210" s="1925"/>
      <c r="M210" s="1925"/>
      <c r="N210" s="1925"/>
      <c r="O210" s="1925"/>
      <c r="P210" s="1926"/>
      <c r="Q210" s="1926"/>
      <c r="R210" s="1926"/>
      <c r="S210" s="1926"/>
      <c r="T210" s="1926"/>
      <c r="U210" s="1927"/>
      <c r="V210" s="1927"/>
      <c r="W210" s="1927"/>
      <c r="X210" s="1927"/>
      <c r="Y210" s="1927"/>
      <c r="Z210" s="1927"/>
      <c r="AA210" s="1927"/>
      <c r="AB210" s="1927"/>
      <c r="AC210" s="1928" t="s">
        <v>1858</v>
      </c>
      <c r="AD210" s="1928"/>
      <c r="AE210" s="1928"/>
      <c r="AF210" s="1928"/>
      <c r="AG210" s="1912"/>
      <c r="AH210" s="1913"/>
      <c r="AI210" s="1913"/>
      <c r="AJ210" s="1913"/>
      <c r="AK210" s="1914"/>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5" t="s">
        <v>2237</v>
      </c>
      <c r="D211" s="1916"/>
      <c r="E211" s="1916"/>
      <c r="F211" s="1916"/>
      <c r="G211" s="1916"/>
      <c r="H211" s="1916"/>
      <c r="I211" s="1916"/>
      <c r="J211" s="1916"/>
      <c r="K211" s="1916"/>
      <c r="L211" s="1916"/>
      <c r="M211" s="1916"/>
      <c r="N211" s="1916"/>
      <c r="O211" s="1916"/>
      <c r="P211" s="1917"/>
      <c r="Q211" s="1917"/>
      <c r="R211" s="1917"/>
      <c r="S211" s="1917"/>
      <c r="T211" s="1917"/>
      <c r="U211" s="1918">
        <f>-SUM(U204:U210)</f>
        <v>0</v>
      </c>
      <c r="V211" s="1918"/>
      <c r="W211" s="1918"/>
      <c r="X211" s="1918"/>
      <c r="Y211" s="1918">
        <f>-SUM(Y204:Y210)</f>
        <v>0</v>
      </c>
      <c r="Z211" s="1918"/>
      <c r="AA211" s="1918"/>
      <c r="AB211" s="1918"/>
      <c r="AC211" s="1919">
        <f>-SUM(AC204:AC210)</f>
        <v>0</v>
      </c>
      <c r="AD211" s="1919"/>
      <c r="AE211" s="1919"/>
      <c r="AF211" s="1919"/>
      <c r="AG211" s="1920"/>
      <c r="AH211" s="1921"/>
      <c r="AI211" s="1921"/>
      <c r="AJ211" s="1921"/>
      <c r="AK211" s="192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9" t="s">
        <v>2235</v>
      </c>
      <c r="C216" s="1900"/>
      <c r="D216" s="1900"/>
      <c r="E216" s="1900"/>
      <c r="F216" s="1900"/>
      <c r="G216" s="1900"/>
      <c r="H216" s="1900"/>
      <c r="I216" s="1900"/>
      <c r="J216" s="1900"/>
      <c r="K216" s="1900"/>
      <c r="L216" s="1900"/>
      <c r="M216" s="1900"/>
      <c r="N216" s="1900"/>
      <c r="O216" s="1900"/>
      <c r="P216" s="1900"/>
      <c r="Q216" s="1900"/>
      <c r="R216" s="1900"/>
      <c r="S216" s="1900"/>
      <c r="T216" s="1900"/>
      <c r="U216" s="1900"/>
      <c r="V216" s="1900"/>
      <c r="W216" s="1900"/>
      <c r="X216" s="1900"/>
      <c r="Y216" s="1900"/>
      <c r="Z216" s="1900"/>
      <c r="AA216" s="1900"/>
      <c r="AB216" s="1900"/>
      <c r="AC216" s="1900"/>
      <c r="AD216" s="1900"/>
      <c r="AE216" s="1900"/>
      <c r="AF216" s="1900"/>
      <c r="AG216" s="1900"/>
      <c r="AH216" s="1900"/>
      <c r="AI216" s="1900"/>
      <c r="AJ216" s="1900"/>
      <c r="AK216" s="1900"/>
      <c r="AL216" s="1900"/>
      <c r="AM216" s="1900"/>
      <c r="AN216" s="1900"/>
      <c r="AO216" s="1900"/>
      <c r="AP216" s="1900"/>
      <c r="AQ216" s="1900"/>
      <c r="AR216" s="1900"/>
      <c r="AS216" s="1900"/>
      <c r="AT216" s="1900"/>
      <c r="AU216" s="1900"/>
      <c r="AV216" s="1900"/>
      <c r="AW216" s="1900"/>
      <c r="AX216" s="1900"/>
      <c r="AY216" s="1900"/>
      <c r="AZ216" s="1900"/>
      <c r="BA216" s="1900"/>
      <c r="BB216" s="1900"/>
      <c r="BC216" s="1900"/>
      <c r="BD216" s="1901"/>
      <c r="BE216" s="1215"/>
    </row>
    <row r="217" spans="1:57" ht="15.75" customHeight="1">
      <c r="A217" s="1208"/>
      <c r="B217" s="1902"/>
      <c r="C217" s="1903"/>
      <c r="D217" s="1903"/>
      <c r="E217" s="1903"/>
      <c r="F217" s="1903"/>
      <c r="G217" s="1903"/>
      <c r="H217" s="1903"/>
      <c r="I217" s="1903"/>
      <c r="J217" s="1903"/>
      <c r="K217" s="1903"/>
      <c r="L217" s="1903"/>
      <c r="M217" s="1903"/>
      <c r="N217" s="1903"/>
      <c r="O217" s="1903"/>
      <c r="P217" s="1903"/>
      <c r="Q217" s="1903"/>
      <c r="R217" s="1903"/>
      <c r="S217" s="1903"/>
      <c r="T217" s="1903"/>
      <c r="U217" s="1903"/>
      <c r="V217" s="1903"/>
      <c r="W217" s="1903"/>
      <c r="X217" s="1903"/>
      <c r="Y217" s="1903"/>
      <c r="Z217" s="1903"/>
      <c r="AA217" s="1903"/>
      <c r="AB217" s="1903"/>
      <c r="AC217" s="1903"/>
      <c r="AD217" s="1903"/>
      <c r="AE217" s="1903"/>
      <c r="AF217" s="1903"/>
      <c r="AG217" s="1903"/>
      <c r="AH217" s="1903"/>
      <c r="AI217" s="1903"/>
      <c r="AJ217" s="1903"/>
      <c r="AK217" s="1903"/>
      <c r="AL217" s="1903"/>
      <c r="AM217" s="1903"/>
      <c r="AN217" s="1903"/>
      <c r="AO217" s="1903"/>
      <c r="AP217" s="1903"/>
      <c r="AQ217" s="1903"/>
      <c r="AR217" s="1903"/>
      <c r="AS217" s="1903"/>
      <c r="AT217" s="1903"/>
      <c r="AU217" s="1903"/>
      <c r="AV217" s="1903"/>
      <c r="AW217" s="1903"/>
      <c r="AX217" s="1903"/>
      <c r="AY217" s="1903"/>
      <c r="AZ217" s="1903"/>
      <c r="BA217" s="1903"/>
      <c r="BB217" s="1903"/>
      <c r="BC217" s="1903"/>
      <c r="BD217" s="1904"/>
      <c r="BE217" s="1215"/>
    </row>
    <row r="218" spans="1:57" ht="15.75" customHeight="1">
      <c r="A218" s="1208"/>
      <c r="B218" s="1905" t="s">
        <v>2234</v>
      </c>
      <c r="C218" s="1906"/>
      <c r="D218" s="1906"/>
      <c r="E218" s="1906"/>
      <c r="F218" s="1906"/>
      <c r="G218" s="1906"/>
      <c r="H218" s="1906"/>
      <c r="I218" s="1906"/>
      <c r="J218" s="1906"/>
      <c r="K218" s="1906"/>
      <c r="L218" s="1906"/>
      <c r="M218" s="1906"/>
      <c r="N218" s="1906"/>
      <c r="O218" s="1906"/>
      <c r="P218" s="1906"/>
      <c r="Q218" s="1906"/>
      <c r="R218" s="1906"/>
      <c r="S218" s="1906"/>
      <c r="T218" s="1906"/>
      <c r="U218" s="1906"/>
      <c r="V218" s="1906"/>
      <c r="W218" s="1906"/>
      <c r="X218" s="1906"/>
      <c r="Y218" s="1906"/>
      <c r="Z218" s="1906"/>
      <c r="AA218" s="1906"/>
      <c r="AB218" s="1906"/>
      <c r="AC218" s="1906"/>
      <c r="AD218" s="1906"/>
      <c r="AE218" s="1906"/>
      <c r="AF218" s="1906"/>
      <c r="AG218" s="1906"/>
      <c r="AH218" s="1906"/>
      <c r="AI218" s="1906"/>
      <c r="AJ218" s="1906"/>
      <c r="AK218" s="1906"/>
      <c r="AL218" s="1906"/>
      <c r="AM218" s="1906"/>
      <c r="AN218" s="1906"/>
      <c r="AO218" s="1906"/>
      <c r="AP218" s="1906"/>
      <c r="AQ218" s="1906"/>
      <c r="AR218" s="1906"/>
      <c r="AS218" s="1906"/>
      <c r="AT218" s="1906"/>
      <c r="AU218" s="1906"/>
      <c r="AV218" s="1906"/>
      <c r="AW218" s="1906"/>
      <c r="AX218" s="1906"/>
      <c r="AY218" s="1906"/>
      <c r="AZ218" s="1906"/>
      <c r="BA218" s="1906"/>
      <c r="BB218" s="1906"/>
      <c r="BC218" s="1906"/>
      <c r="BD218" s="1907"/>
      <c r="BE218" s="1215"/>
    </row>
    <row r="219" spans="1:57" ht="15.75" customHeight="1">
      <c r="A219" s="1208"/>
      <c r="B219" s="1905" t="s">
        <v>2233</v>
      </c>
      <c r="C219" s="1906"/>
      <c r="D219" s="1906"/>
      <c r="E219" s="1906"/>
      <c r="F219" s="1906"/>
      <c r="G219" s="1906"/>
      <c r="H219" s="1906"/>
      <c r="I219" s="1906"/>
      <c r="J219" s="1906"/>
      <c r="K219" s="1906"/>
      <c r="L219" s="1906"/>
      <c r="M219" s="1906"/>
      <c r="N219" s="1906"/>
      <c r="O219" s="1906"/>
      <c r="P219" s="1906"/>
      <c r="Q219" s="1906"/>
      <c r="R219" s="1906"/>
      <c r="S219" s="1906"/>
      <c r="T219" s="1906"/>
      <c r="U219" s="1906"/>
      <c r="V219" s="1906"/>
      <c r="W219" s="1906"/>
      <c r="X219" s="1906"/>
      <c r="Y219" s="1906"/>
      <c r="Z219" s="1906"/>
      <c r="AA219" s="1906"/>
      <c r="AB219" s="1906"/>
      <c r="AC219" s="1906"/>
      <c r="AD219" s="1906"/>
      <c r="AE219" s="1906"/>
      <c r="AF219" s="1906"/>
      <c r="AG219" s="1906"/>
      <c r="AH219" s="1906"/>
      <c r="AI219" s="1906"/>
      <c r="AJ219" s="1906"/>
      <c r="AK219" s="1906"/>
      <c r="AL219" s="1906"/>
      <c r="AM219" s="1906"/>
      <c r="AN219" s="1906"/>
      <c r="AO219" s="1906"/>
      <c r="AP219" s="1906"/>
      <c r="AQ219" s="1906"/>
      <c r="AR219" s="1906"/>
      <c r="AS219" s="1906"/>
      <c r="AT219" s="1906"/>
      <c r="AU219" s="1906"/>
      <c r="AV219" s="1906"/>
      <c r="AW219" s="1906"/>
      <c r="AX219" s="1906"/>
      <c r="AY219" s="1906"/>
      <c r="AZ219" s="1906"/>
      <c r="BA219" s="1906"/>
      <c r="BB219" s="1906"/>
      <c r="BC219" s="1906"/>
      <c r="BD219" s="1907"/>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8" t="s">
        <v>2232</v>
      </c>
      <c r="C221" s="1909"/>
      <c r="D221" s="1909"/>
      <c r="E221" s="1909"/>
      <c r="F221" s="1909"/>
      <c r="G221" s="1909"/>
      <c r="H221" s="1909"/>
      <c r="I221" s="1909"/>
      <c r="J221" s="1909"/>
      <c r="K221" s="1909"/>
      <c r="L221" s="1909"/>
      <c r="M221" s="1909"/>
      <c r="N221" s="1909"/>
      <c r="O221" s="1909"/>
      <c r="P221" s="1909"/>
      <c r="Q221" s="1909"/>
      <c r="R221" s="1909"/>
      <c r="S221" s="1909"/>
      <c r="T221" s="1909"/>
      <c r="U221" s="1909"/>
      <c r="V221" s="1909"/>
      <c r="W221" s="1909"/>
      <c r="X221" s="1909"/>
      <c r="Y221" s="1909"/>
      <c r="Z221" s="1909"/>
      <c r="AA221" s="1909"/>
      <c r="AB221" s="1909"/>
      <c r="AC221" s="1909"/>
      <c r="AD221" s="1909"/>
      <c r="AE221" s="1909"/>
      <c r="AF221" s="1909"/>
      <c r="AG221" s="1909"/>
      <c r="AH221" s="1909"/>
      <c r="AI221" s="1909"/>
      <c r="AJ221" s="1909"/>
      <c r="AK221" s="1909"/>
      <c r="AL221" s="1909"/>
      <c r="AM221" s="1909"/>
      <c r="AN221" s="1909"/>
      <c r="AO221" s="1909"/>
      <c r="AP221" s="1909"/>
      <c r="AQ221" s="1909"/>
      <c r="AR221" s="1909"/>
      <c r="AS221" s="1909"/>
      <c r="AT221" s="1909"/>
      <c r="AU221" s="1909"/>
      <c r="AV221" s="1909"/>
      <c r="AW221" s="1909"/>
      <c r="AX221" s="1909"/>
      <c r="AY221" s="1909"/>
      <c r="AZ221" s="1909"/>
      <c r="BA221" s="1909"/>
      <c r="BB221" s="1909"/>
      <c r="BC221" s="1909"/>
      <c r="BD221" s="1910"/>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1" t="s">
        <v>2230</v>
      </c>
      <c r="I225" s="1911"/>
      <c r="J225" s="1911"/>
      <c r="K225" s="1911"/>
      <c r="L225" s="1911"/>
      <c r="M225" s="1911"/>
      <c r="N225" s="1911"/>
      <c r="O225" s="1911"/>
      <c r="P225" s="1911"/>
      <c r="Q225" s="1911"/>
      <c r="R225" s="1911"/>
      <c r="S225" s="1911"/>
      <c r="T225" s="1911"/>
      <c r="U225" s="1911"/>
      <c r="V225" s="1911"/>
      <c r="W225" s="1911"/>
      <c r="X225" s="1911"/>
      <c r="Y225" s="1911"/>
      <c r="Z225" s="1911"/>
      <c r="AA225" s="1911"/>
      <c r="AB225" s="1911"/>
      <c r="AC225" s="1911"/>
      <c r="AD225" s="1911"/>
      <c r="AE225" s="1911"/>
      <c r="AF225" s="1911"/>
      <c r="AG225" s="1911"/>
      <c r="AH225" s="1911"/>
      <c r="AI225" s="1911"/>
      <c r="AJ225" s="1911"/>
      <c r="AK225" s="1911"/>
      <c r="AL225" s="1911"/>
      <c r="AM225" s="1911"/>
      <c r="AN225" s="1911"/>
      <c r="AO225" s="1911"/>
      <c r="AP225" s="1911"/>
      <c r="AQ225" s="1911"/>
      <c r="AR225" s="1911"/>
      <c r="AS225" s="1911"/>
      <c r="AT225" s="1911"/>
      <c r="AU225" s="1911"/>
      <c r="AV225" s="1911"/>
      <c r="AW225" s="1911"/>
      <c r="AX225" s="1911"/>
      <c r="AY225" s="1911"/>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4" t="s">
        <v>2229</v>
      </c>
      <c r="I227" s="1894"/>
      <c r="J227" s="1894"/>
      <c r="K227" s="1894"/>
      <c r="L227" s="1894"/>
      <c r="M227" s="1894"/>
      <c r="N227" s="1894"/>
      <c r="O227" s="1894"/>
      <c r="P227" s="1894"/>
      <c r="Q227" s="1894"/>
      <c r="R227" s="1894"/>
      <c r="S227" s="1894"/>
      <c r="T227" s="1894"/>
      <c r="U227" s="1894"/>
      <c r="V227" s="1894"/>
      <c r="W227" s="1894"/>
      <c r="X227" s="1894"/>
      <c r="Y227" s="1894"/>
      <c r="Z227" s="1894"/>
      <c r="AA227" s="1894"/>
      <c r="AB227" s="1894"/>
      <c r="AC227" s="1894"/>
      <c r="AD227" s="1894"/>
      <c r="AE227" s="1894"/>
      <c r="AF227" s="1894"/>
      <c r="AG227" s="1894"/>
      <c r="AH227" s="1894"/>
      <c r="AI227" s="1894"/>
      <c r="AJ227" s="1894"/>
      <c r="AK227" s="1894"/>
      <c r="AL227" s="1894"/>
      <c r="AM227" s="1894"/>
      <c r="AN227" s="1894"/>
      <c r="AO227" s="1894"/>
      <c r="AP227" s="1894"/>
      <c r="AQ227" s="1894"/>
      <c r="AR227" s="1894"/>
      <c r="AS227" s="1894"/>
      <c r="AT227" s="1894"/>
      <c r="AU227" s="1894"/>
      <c r="AV227" s="1894"/>
      <c r="AW227" s="1894"/>
      <c r="AX227" s="1894"/>
      <c r="AY227" s="1894"/>
      <c r="AZ227" s="1894"/>
      <c r="BA227" s="1208"/>
      <c r="BB227" s="1208"/>
      <c r="BC227" s="1208"/>
      <c r="BD227" s="1215"/>
      <c r="BE227" s="1215"/>
    </row>
    <row r="228" spans="1:57" ht="15.75" customHeight="1">
      <c r="A228" s="1208"/>
      <c r="B228" s="1207"/>
      <c r="C228" s="1208"/>
      <c r="D228" s="1208"/>
      <c r="E228" s="1208"/>
      <c r="F228" s="1208"/>
      <c r="G228" s="1208"/>
      <c r="H228" s="1894"/>
      <c r="I228" s="1894"/>
      <c r="J228" s="1894"/>
      <c r="K228" s="1894"/>
      <c r="L228" s="1894"/>
      <c r="M228" s="1894"/>
      <c r="N228" s="1894"/>
      <c r="O228" s="1894"/>
      <c r="P228" s="1894"/>
      <c r="Q228" s="1894"/>
      <c r="R228" s="1894"/>
      <c r="S228" s="1894"/>
      <c r="T228" s="1894"/>
      <c r="U228" s="1894"/>
      <c r="V228" s="1894"/>
      <c r="W228" s="1894"/>
      <c r="X228" s="1894"/>
      <c r="Y228" s="1894"/>
      <c r="Z228" s="1894"/>
      <c r="AA228" s="1894"/>
      <c r="AB228" s="1894"/>
      <c r="AC228" s="1894"/>
      <c r="AD228" s="1894"/>
      <c r="AE228" s="1894"/>
      <c r="AF228" s="1894"/>
      <c r="AG228" s="1894"/>
      <c r="AH228" s="1894"/>
      <c r="AI228" s="1894"/>
      <c r="AJ228" s="1894"/>
      <c r="AK228" s="1894"/>
      <c r="AL228" s="1894"/>
      <c r="AM228" s="1894"/>
      <c r="AN228" s="1894"/>
      <c r="AO228" s="1894"/>
      <c r="AP228" s="1894"/>
      <c r="AQ228" s="1894"/>
      <c r="AR228" s="1894"/>
      <c r="AS228" s="1894"/>
      <c r="AT228" s="1894"/>
      <c r="AU228" s="1894"/>
      <c r="AV228" s="1894"/>
      <c r="AW228" s="1894"/>
      <c r="AX228" s="1894"/>
      <c r="AY228" s="1894"/>
      <c r="AZ228" s="1894"/>
      <c r="BA228" s="1208"/>
      <c r="BB228" s="1208"/>
      <c r="BC228" s="1208"/>
      <c r="BD228" s="1215"/>
      <c r="BE228" s="1215"/>
    </row>
    <row r="229" spans="1:57" ht="15.75" customHeight="1">
      <c r="A229" s="1208"/>
      <c r="B229" s="1207"/>
      <c r="C229" s="1208"/>
      <c r="D229" s="1208"/>
      <c r="E229" s="1208"/>
      <c r="F229" s="1208"/>
      <c r="G229" s="1208"/>
      <c r="H229" s="1894"/>
      <c r="I229" s="1894"/>
      <c r="J229" s="1894"/>
      <c r="K229" s="1894"/>
      <c r="L229" s="1894"/>
      <c r="M229" s="1894"/>
      <c r="N229" s="1894"/>
      <c r="O229" s="1894"/>
      <c r="P229" s="1894"/>
      <c r="Q229" s="1894"/>
      <c r="R229" s="1894"/>
      <c r="S229" s="1894"/>
      <c r="T229" s="1894"/>
      <c r="U229" s="1894"/>
      <c r="V229" s="1894"/>
      <c r="W229" s="1894"/>
      <c r="X229" s="1894"/>
      <c r="Y229" s="1894"/>
      <c r="Z229" s="1894"/>
      <c r="AA229" s="1894"/>
      <c r="AB229" s="1894"/>
      <c r="AC229" s="1894"/>
      <c r="AD229" s="1894"/>
      <c r="AE229" s="1894"/>
      <c r="AF229" s="1894"/>
      <c r="AG229" s="1894"/>
      <c r="AH229" s="1894"/>
      <c r="AI229" s="1894"/>
      <c r="AJ229" s="1894"/>
      <c r="AK229" s="1894"/>
      <c r="AL229" s="1894"/>
      <c r="AM229" s="1894"/>
      <c r="AN229" s="1894"/>
      <c r="AO229" s="1894"/>
      <c r="AP229" s="1894"/>
      <c r="AQ229" s="1894"/>
      <c r="AR229" s="1894"/>
      <c r="AS229" s="1894"/>
      <c r="AT229" s="1894"/>
      <c r="AU229" s="1894"/>
      <c r="AV229" s="1894"/>
      <c r="AW229" s="1894"/>
      <c r="AX229" s="1894"/>
      <c r="AY229" s="1894"/>
      <c r="AZ229" s="1894"/>
      <c r="BA229" s="1208"/>
      <c r="BB229" s="1208"/>
      <c r="BC229" s="1208"/>
      <c r="BD229" s="1215"/>
      <c r="BE229" s="1215"/>
    </row>
    <row r="230" spans="1:57" ht="15.75" customHeight="1">
      <c r="A230" s="1208"/>
      <c r="B230" s="1207"/>
      <c r="C230" s="1208"/>
      <c r="D230" s="1208"/>
      <c r="E230" s="1208"/>
      <c r="F230" s="1208"/>
      <c r="G230" s="1208"/>
      <c r="H230" s="1894"/>
      <c r="I230" s="1894"/>
      <c r="J230" s="1894"/>
      <c r="K230" s="1894"/>
      <c r="L230" s="1894"/>
      <c r="M230" s="1894"/>
      <c r="N230" s="1894"/>
      <c r="O230" s="1894"/>
      <c r="P230" s="1894"/>
      <c r="Q230" s="1894"/>
      <c r="R230" s="1894"/>
      <c r="S230" s="1894"/>
      <c r="T230" s="1894"/>
      <c r="U230" s="1894"/>
      <c r="V230" s="1894"/>
      <c r="W230" s="1894"/>
      <c r="X230" s="1894"/>
      <c r="Y230" s="1894"/>
      <c r="Z230" s="1894"/>
      <c r="AA230" s="1894"/>
      <c r="AB230" s="1894"/>
      <c r="AC230" s="1894"/>
      <c r="AD230" s="1894"/>
      <c r="AE230" s="1894"/>
      <c r="AF230" s="1894"/>
      <c r="AG230" s="1894"/>
      <c r="AH230" s="1894"/>
      <c r="AI230" s="1894"/>
      <c r="AJ230" s="1894"/>
      <c r="AK230" s="1894"/>
      <c r="AL230" s="1894"/>
      <c r="AM230" s="1894"/>
      <c r="AN230" s="1894"/>
      <c r="AO230" s="1894"/>
      <c r="AP230" s="1894"/>
      <c r="AQ230" s="1894"/>
      <c r="AR230" s="1894"/>
      <c r="AS230" s="1894"/>
      <c r="AT230" s="1894"/>
      <c r="AU230" s="1894"/>
      <c r="AV230" s="1894"/>
      <c r="AW230" s="1894"/>
      <c r="AX230" s="1894"/>
      <c r="AY230" s="1894"/>
      <c r="AZ230" s="1894"/>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5" t="s">
        <v>2228</v>
      </c>
      <c r="I232" s="1895"/>
      <c r="J232" s="1895"/>
      <c r="K232" s="1895"/>
      <c r="L232" s="1895"/>
      <c r="M232" s="1895"/>
      <c r="N232" s="1895"/>
      <c r="O232" s="1895"/>
      <c r="P232" s="1895"/>
      <c r="Q232" s="1895"/>
      <c r="R232" s="1895"/>
      <c r="S232" s="1895"/>
      <c r="T232" s="1895"/>
      <c r="U232" s="1895"/>
      <c r="V232" s="1895"/>
      <c r="W232" s="1895"/>
      <c r="X232" s="1895"/>
      <c r="Y232" s="1895"/>
      <c r="Z232" s="1895"/>
      <c r="AA232" s="1895"/>
      <c r="AB232" s="1895"/>
      <c r="AC232" s="1895"/>
      <c r="AD232" s="1895"/>
      <c r="AE232" s="1895"/>
      <c r="AF232" s="1895"/>
      <c r="AG232" s="1895"/>
      <c r="AH232" s="1895"/>
      <c r="AI232" s="1895"/>
      <c r="AJ232" s="1895"/>
      <c r="AK232" s="1895"/>
      <c r="AL232" s="1895"/>
      <c r="AM232" s="1895"/>
      <c r="AN232" s="1895"/>
      <c r="AO232" s="1895"/>
      <c r="AP232" s="1895"/>
      <c r="AQ232" s="1895"/>
      <c r="AR232" s="1895"/>
      <c r="AS232" s="1895"/>
      <c r="AT232" s="1895"/>
      <c r="AU232" s="1895"/>
      <c r="AV232" s="1895"/>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5" t="s">
        <v>2227</v>
      </c>
      <c r="I234" s="1885"/>
      <c r="J234" s="1885"/>
      <c r="K234" s="1885"/>
      <c r="L234" s="1259"/>
      <c r="M234" s="1259"/>
      <c r="N234" s="1259"/>
      <c r="O234" s="1259"/>
      <c r="P234" s="1259"/>
      <c r="Q234" s="1259"/>
      <c r="R234" s="1259"/>
      <c r="S234" s="1896"/>
      <c r="T234" s="1897"/>
      <c r="U234" s="1897"/>
      <c r="V234" s="1897"/>
      <c r="W234" s="1897"/>
      <c r="X234" s="1897"/>
      <c r="Y234" s="1897"/>
      <c r="Z234" s="1897"/>
      <c r="AA234" s="1897"/>
      <c r="AB234" s="1897"/>
      <c r="AC234" s="1897"/>
      <c r="AD234" s="1897"/>
      <c r="AE234" s="1897"/>
      <c r="AF234" s="1897"/>
      <c r="AG234" s="1897"/>
      <c r="AH234" s="1897"/>
      <c r="AI234" s="1897"/>
      <c r="AJ234" s="1898"/>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5" t="s">
        <v>2226</v>
      </c>
      <c r="I236" s="1885"/>
      <c r="J236" s="1885"/>
      <c r="K236" s="1261"/>
      <c r="L236" s="1259"/>
      <c r="M236" s="1259"/>
      <c r="N236" s="1259"/>
      <c r="O236" s="1259"/>
      <c r="P236" s="1259"/>
      <c r="Q236" s="1259"/>
      <c r="R236" s="1259"/>
      <c r="S236" s="1886"/>
      <c r="T236" s="1887"/>
      <c r="U236" s="1887"/>
      <c r="V236" s="1887"/>
      <c r="W236" s="1887"/>
      <c r="X236" s="1887"/>
      <c r="Y236" s="1887"/>
      <c r="Z236" s="1887"/>
      <c r="AA236" s="1887"/>
      <c r="AB236" s="1887"/>
      <c r="AC236" s="1887"/>
      <c r="AD236" s="1887"/>
      <c r="AE236" s="1887"/>
      <c r="AF236" s="1887"/>
      <c r="AG236" s="1887"/>
      <c r="AH236" s="1887"/>
      <c r="AI236" s="1887"/>
      <c r="AJ236" s="1888"/>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5" t="s">
        <v>441</v>
      </c>
      <c r="I238" s="1885"/>
      <c r="J238" s="1261"/>
      <c r="K238" s="1261"/>
      <c r="L238" s="1259"/>
      <c r="M238" s="1259"/>
      <c r="N238" s="1259"/>
      <c r="O238" s="1259"/>
      <c r="P238" s="1259"/>
      <c r="Q238" s="1259"/>
      <c r="R238" s="1259"/>
      <c r="S238" s="1886"/>
      <c r="T238" s="1887"/>
      <c r="U238" s="1887"/>
      <c r="V238" s="1887"/>
      <c r="W238" s="1887"/>
      <c r="X238" s="1887"/>
      <c r="Y238" s="1887"/>
      <c r="Z238" s="1887"/>
      <c r="AA238" s="1887"/>
      <c r="AB238" s="1887"/>
      <c r="AC238" s="1887"/>
      <c r="AD238" s="1887"/>
      <c r="AE238" s="1887"/>
      <c r="AF238" s="1887"/>
      <c r="AG238" s="1887"/>
      <c r="AH238" s="1887"/>
      <c r="AI238" s="1887"/>
      <c r="AJ238" s="1888"/>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9" t="s">
        <v>2225</v>
      </c>
      <c r="I240" s="1889"/>
      <c r="J240" s="1889"/>
      <c r="K240" s="1889"/>
      <c r="L240" s="1889"/>
      <c r="M240" s="1889"/>
      <c r="N240" s="1889"/>
      <c r="O240" s="1889"/>
      <c r="P240" s="1259"/>
      <c r="Q240" s="1259"/>
      <c r="R240" s="1259"/>
      <c r="S240" s="1886"/>
      <c r="T240" s="1887"/>
      <c r="U240" s="1887"/>
      <c r="V240" s="1887"/>
      <c r="W240" s="1887"/>
      <c r="X240" s="1887"/>
      <c r="Y240" s="1887"/>
      <c r="Z240" s="1887"/>
      <c r="AA240" s="1887"/>
      <c r="AB240" s="1887"/>
      <c r="AC240" s="1887"/>
      <c r="AD240" s="1887"/>
      <c r="AE240" s="1887"/>
      <c r="AF240" s="1887"/>
      <c r="AG240" s="1887"/>
      <c r="AH240" s="1887"/>
      <c r="AI240" s="1887"/>
      <c r="AJ240" s="1888"/>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0" t="s">
        <v>2224</v>
      </c>
      <c r="I242" s="1890"/>
      <c r="J242" s="1259"/>
      <c r="K242" s="1259"/>
      <c r="L242" s="1259"/>
      <c r="M242" s="1259"/>
      <c r="N242" s="1259"/>
      <c r="O242" s="1259"/>
      <c r="P242" s="1259"/>
      <c r="Q242" s="1259"/>
      <c r="R242" s="1259"/>
      <c r="S242" s="1891"/>
      <c r="T242" s="1892"/>
      <c r="U242" s="1892"/>
      <c r="V242" s="1892"/>
      <c r="W242" s="1892"/>
      <c r="X242" s="1892"/>
      <c r="Y242" s="1892"/>
      <c r="Z242" s="1892"/>
      <c r="AA242" s="1892"/>
      <c r="AB242" s="1892"/>
      <c r="AC242" s="1892"/>
      <c r="AD242" s="1892"/>
      <c r="AE242" s="1892"/>
      <c r="AF242" s="1892"/>
      <c r="AG242" s="1892"/>
      <c r="AH242" s="1892"/>
      <c r="AI242" s="1892"/>
      <c r="AJ242" s="1893"/>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I54" sqref="AI54"/>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9" t="s">
        <v>1279</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2.95"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2.95"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2.95"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2.95"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2.95" customHeight="1">
      <c r="B11" s="2340" t="s">
        <v>375</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51657527</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0</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2.95" customHeight="1">
      <c r="B12" s="2355" t="s">
        <v>497</v>
      </c>
      <c r="C12" s="1293"/>
      <c r="D12" s="1293"/>
      <c r="E12" s="1293"/>
      <c r="F12" s="1293"/>
      <c r="G12" s="1293"/>
      <c r="H12" s="1293"/>
      <c r="I12" s="1293"/>
      <c r="J12" s="1293"/>
      <c r="K12" s="1293"/>
      <c r="L12" s="1293"/>
      <c r="M12" s="1293"/>
      <c r="N12" s="1293"/>
      <c r="O12" s="1293"/>
      <c r="P12" s="1293"/>
      <c r="Q12" s="1293"/>
      <c r="R12" s="1293"/>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2.95" customHeight="1">
      <c r="B13" s="435"/>
      <c r="C13" s="2357" t="s">
        <v>498</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2.95" customHeight="1">
      <c r="B14" s="435"/>
      <c r="C14" s="2357" t="s">
        <v>499</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2.95" customHeight="1">
      <c r="B15" s="435"/>
      <c r="C15" s="2357" t="s">
        <v>500</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2.95" customHeight="1">
      <c r="B16" s="435"/>
      <c r="C16" s="2357" t="s">
        <v>805</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2.95" customHeight="1">
      <c r="B17" s="435"/>
      <c r="C17" s="2357" t="s">
        <v>501</v>
      </c>
      <c r="D17" s="2357"/>
      <c r="E17" s="2357"/>
      <c r="F17" s="2357"/>
      <c r="G17" s="2357"/>
      <c r="H17" s="2357"/>
      <c r="I17" s="2357"/>
      <c r="J17" s="2357"/>
      <c r="K17" s="2357"/>
      <c r="L17" s="2357"/>
      <c r="M17" s="2357"/>
      <c r="N17" s="2357"/>
      <c r="O17" s="2357"/>
      <c r="P17" s="2357"/>
      <c r="Q17" s="2357"/>
      <c r="R17" s="2357"/>
      <c r="S17" s="2358"/>
      <c r="T17" s="2331"/>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2.95" customHeight="1">
      <c r="A18"/>
      <c r="B18" s="1144"/>
      <c r="C18" s="1804" t="s">
        <v>959</v>
      </c>
      <c r="D18" s="1804"/>
      <c r="E18" s="1804"/>
      <c r="F18" s="1804"/>
      <c r="G18" s="1804"/>
      <c r="H18" s="1804"/>
      <c r="I18" s="1804"/>
      <c r="J18" s="1804"/>
      <c r="K18" s="1804"/>
      <c r="L18" s="1804"/>
      <c r="M18" s="1804"/>
      <c r="N18" s="1804"/>
      <c r="O18" s="1804"/>
      <c r="P18" s="1804"/>
      <c r="Q18" s="1804"/>
      <c r="R18" s="1804"/>
      <c r="S18" s="1805"/>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2.95" customHeight="1">
      <c r="B19" s="1144"/>
      <c r="C19" s="1804" t="s">
        <v>959</v>
      </c>
      <c r="D19" s="1804"/>
      <c r="E19" s="1804"/>
      <c r="F19" s="1804"/>
      <c r="G19" s="1804"/>
      <c r="H19" s="1804"/>
      <c r="I19" s="1804"/>
      <c r="J19" s="1804"/>
      <c r="K19" s="1804"/>
      <c r="L19" s="1804"/>
      <c r="M19" s="1804"/>
      <c r="N19" s="1804"/>
      <c r="O19" s="1804"/>
      <c r="P19" s="1804"/>
      <c r="Q19" s="1804"/>
      <c r="R19" s="1804"/>
      <c r="S19" s="1805"/>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2.95" customHeight="1">
      <c r="B20" s="2340" t="s">
        <v>502</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2.95" customHeight="1">
      <c r="B21" s="2340" t="s">
        <v>1262</v>
      </c>
      <c r="C21" s="2341"/>
      <c r="D21" s="2341"/>
      <c r="E21" s="2341"/>
      <c r="F21" s="2341"/>
      <c r="G21" s="2341"/>
      <c r="H21" s="2341"/>
      <c r="I21" s="2341"/>
      <c r="J21" s="2341"/>
      <c r="K21" s="2341"/>
      <c r="L21" s="2341"/>
      <c r="M21" s="2341"/>
      <c r="N21" s="2341"/>
      <c r="O21" s="2341"/>
      <c r="P21" s="2341"/>
      <c r="Q21" s="2341"/>
      <c r="R21" s="2341"/>
      <c r="S21" s="2342"/>
      <c r="T21" s="2331">
        <v>0</v>
      </c>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2.95" customHeight="1">
      <c r="B22" s="2340" t="s">
        <v>503</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2.95" customHeight="1">
      <c r="B23" s="2340" t="s">
        <v>504</v>
      </c>
      <c r="C23" s="2341"/>
      <c r="D23" s="2341"/>
      <c r="E23" s="2341"/>
      <c r="F23" s="2341"/>
      <c r="G23" s="2341"/>
      <c r="H23" s="2341"/>
      <c r="I23" s="2341"/>
      <c r="J23" s="2341"/>
      <c r="K23" s="2341"/>
      <c r="L23" s="2341"/>
      <c r="M23" s="2341"/>
      <c r="N23" s="2341"/>
      <c r="O23" s="2341"/>
      <c r="P23" s="2341"/>
      <c r="Q23" s="2341"/>
      <c r="R23" s="2341"/>
      <c r="S23" s="2342"/>
      <c r="T23" s="2333">
        <f>T11+T22</f>
        <v>51657527</v>
      </c>
      <c r="U23" s="2334"/>
      <c r="V23" s="2334"/>
      <c r="W23" s="2334"/>
      <c r="X23" s="2334"/>
      <c r="Y23" s="2333">
        <f>Y11+Y22</f>
        <v>0</v>
      </c>
      <c r="Z23" s="2334"/>
      <c r="AA23" s="2334"/>
      <c r="AB23" s="2334"/>
      <c r="AC23" s="2334"/>
      <c r="AD23" s="2333">
        <f>AD11+AD22</f>
        <v>0</v>
      </c>
      <c r="AE23" s="2334"/>
      <c r="AF23" s="2334"/>
      <c r="AG23" s="2334"/>
      <c r="AH23" s="2334"/>
      <c r="AI23" s="2333">
        <f>AI11+AI22</f>
        <v>0</v>
      </c>
      <c r="AJ23" s="2334"/>
      <c r="AK23" s="2334"/>
      <c r="AL23" s="2334"/>
      <c r="AM23" s="2334"/>
    </row>
    <row r="24" spans="1:40" ht="12.95" customHeight="1">
      <c r="B24" s="2340" t="s">
        <v>960</v>
      </c>
      <c r="C24" s="2341"/>
      <c r="D24" s="2341"/>
      <c r="E24" s="2341"/>
      <c r="F24" s="2341"/>
      <c r="G24" s="2341"/>
      <c r="H24" s="2341"/>
      <c r="I24" s="2341"/>
      <c r="J24" s="2341"/>
      <c r="K24" s="2341"/>
      <c r="L24" s="2341"/>
      <c r="M24" s="2341"/>
      <c r="N24" s="2341"/>
      <c r="O24" s="2341"/>
      <c r="P24" s="2341"/>
      <c r="Q24" s="2341"/>
      <c r="R24" s="2341"/>
      <c r="S24" s="2342"/>
      <c r="T24" s="2335">
        <f>Application!AJ1062</f>
        <v>142452248.22</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2.95" customHeight="1">
      <c r="B25" s="2344" t="s">
        <v>1263</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5" customHeight="1">
      <c r="B26" s="2340" t="s">
        <v>505</v>
      </c>
      <c r="C26" s="2341"/>
      <c r="D26" s="2341"/>
      <c r="E26" s="2341"/>
      <c r="F26" s="2341"/>
      <c r="G26" s="2341"/>
      <c r="H26" s="2341"/>
      <c r="I26" s="2341"/>
      <c r="J26" s="2341"/>
      <c r="K26" s="2341"/>
      <c r="L26" s="2341"/>
      <c r="M26" s="2341"/>
      <c r="N26" s="2341"/>
      <c r="O26" s="2341"/>
      <c r="P26" s="2341"/>
      <c r="Q26" s="2341"/>
      <c r="R26" s="2341"/>
      <c r="S26" s="2342"/>
      <c r="T26" s="2333">
        <f>T23*T25</f>
        <v>67154785.100000009</v>
      </c>
      <c r="U26" s="2334"/>
      <c r="V26" s="2334"/>
      <c r="W26" s="2334"/>
      <c r="X26" s="2334"/>
      <c r="Y26" s="2333">
        <f>Y23*Y25</f>
        <v>0</v>
      </c>
      <c r="Z26" s="2334"/>
      <c r="AA26" s="2334"/>
      <c r="AB26" s="2334"/>
      <c r="AC26" s="2334"/>
      <c r="AD26" s="2333">
        <f>AD23*AD25</f>
        <v>0</v>
      </c>
      <c r="AE26" s="2334"/>
      <c r="AF26" s="2334"/>
      <c r="AG26" s="2334"/>
      <c r="AH26" s="2334"/>
      <c r="AI26" s="2333">
        <f>AI23*AI25</f>
        <v>0</v>
      </c>
      <c r="AJ26" s="2334"/>
      <c r="AK26" s="2334"/>
      <c r="AL26" s="2334"/>
      <c r="AM26" s="2334"/>
    </row>
    <row r="27" spans="1:40" ht="12.95" customHeight="1">
      <c r="A27" s="410"/>
      <c r="B27" s="2347" t="s">
        <v>426</v>
      </c>
      <c r="C27" s="2348"/>
      <c r="D27" s="2348"/>
      <c r="E27" s="2348"/>
      <c r="F27" s="2348"/>
      <c r="G27" s="2348"/>
      <c r="H27" s="2348"/>
      <c r="I27" s="2348"/>
      <c r="J27" s="2348"/>
      <c r="K27" s="2348"/>
      <c r="L27" s="2348"/>
      <c r="M27" s="2348"/>
      <c r="N27" s="2348"/>
      <c r="O27" s="2348"/>
      <c r="P27" s="2348"/>
      <c r="Q27" s="2348"/>
      <c r="R27" s="2348"/>
      <c r="S27" s="2349"/>
      <c r="T27" s="2353">
        <f>Application!$AG$454</f>
        <v>1</v>
      </c>
      <c r="U27" s="2354"/>
      <c r="V27" s="2354"/>
      <c r="W27" s="2354"/>
      <c r="X27" s="2354"/>
      <c r="Y27" s="2353">
        <f>Application!$AG$454</f>
        <v>1</v>
      </c>
      <c r="Z27" s="2354"/>
      <c r="AA27" s="2354"/>
      <c r="AB27" s="2354"/>
      <c r="AC27" s="2354"/>
      <c r="AD27" s="2353">
        <f>Application!$AG$454</f>
        <v>1</v>
      </c>
      <c r="AE27" s="2354"/>
      <c r="AF27" s="2354"/>
      <c r="AG27" s="2354"/>
      <c r="AH27" s="2354"/>
      <c r="AI27" s="2353">
        <f>Application!$AG$454</f>
        <v>1</v>
      </c>
      <c r="AJ27" s="2354"/>
      <c r="AK27" s="2354"/>
      <c r="AL27" s="2354"/>
      <c r="AM27" s="2354"/>
    </row>
    <row r="28" spans="1:40" ht="12.95" customHeight="1">
      <c r="A28" s="404"/>
      <c r="B28" s="2340" t="s">
        <v>506</v>
      </c>
      <c r="C28" s="2341"/>
      <c r="D28" s="2341"/>
      <c r="E28" s="2341"/>
      <c r="F28" s="2341"/>
      <c r="G28" s="2341"/>
      <c r="H28" s="2341"/>
      <c r="I28" s="2341"/>
      <c r="J28" s="2341"/>
      <c r="K28" s="2341"/>
      <c r="L28" s="2341"/>
      <c r="M28" s="2341"/>
      <c r="N28" s="2341"/>
      <c r="O28" s="2341"/>
      <c r="P28" s="2341"/>
      <c r="Q28" s="2341"/>
      <c r="R28" s="2341"/>
      <c r="S28" s="2342"/>
      <c r="T28" s="2333">
        <f>IF(ISERROR((T26*T27)),0,(T26*T27))</f>
        <v>67154785.100000009</v>
      </c>
      <c r="U28" s="2334"/>
      <c r="V28" s="2334"/>
      <c r="W28" s="2334"/>
      <c r="X28" s="2334"/>
      <c r="Y28" s="2333">
        <f>IF(ISERROR((Y26*Y27)),0,(Y26*Y27))</f>
        <v>0</v>
      </c>
      <c r="Z28" s="2334"/>
      <c r="AA28" s="2334"/>
      <c r="AB28" s="2334"/>
      <c r="AC28" s="2334"/>
      <c r="AD28" s="2333">
        <f>IF(ISERROR((AD26*AD27)),0,(AD26*AD27))</f>
        <v>0</v>
      </c>
      <c r="AE28" s="2334"/>
      <c r="AF28" s="2334"/>
      <c r="AG28" s="2334"/>
      <c r="AH28" s="2334"/>
      <c r="AI28" s="2333">
        <f>IF(ISERROR((AI26*AI27)),0,(AI26*AI27))</f>
        <v>0</v>
      </c>
      <c r="AJ28" s="2334"/>
      <c r="AK28" s="2334"/>
      <c r="AL28" s="2334"/>
      <c r="AM28" s="2334"/>
    </row>
    <row r="29" spans="1:40" ht="12.95" customHeight="1">
      <c r="B29" s="2340" t="s">
        <v>523</v>
      </c>
      <c r="C29" s="2341"/>
      <c r="D29" s="2341"/>
      <c r="E29" s="2341"/>
      <c r="F29" s="2341"/>
      <c r="G29" s="2341"/>
      <c r="H29" s="2341"/>
      <c r="I29" s="2341"/>
      <c r="J29" s="2341"/>
      <c r="K29" s="2341"/>
      <c r="L29" s="2341"/>
      <c r="M29" s="2341"/>
      <c r="N29" s="2341"/>
      <c r="O29" s="2341"/>
      <c r="P29" s="2341"/>
      <c r="Q29" s="2341"/>
      <c r="R29" s="2341"/>
      <c r="S29" s="2342"/>
      <c r="T29" s="2335">
        <f>T28+Y28+AD28+AI28</f>
        <v>67154785.100000009</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2.95" customHeight="1">
      <c r="B30" s="2343" t="s">
        <v>1265</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2.95" customHeight="1">
      <c r="B31" s="2343" t="s">
        <v>1264</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1153</v>
      </c>
      <c r="Z35" s="2361"/>
      <c r="AA35" s="2361"/>
      <c r="AB35" s="2361"/>
      <c r="AC35" s="2361"/>
      <c r="AD35" s="2381" t="s">
        <v>369</v>
      </c>
      <c r="AE35" s="2381"/>
      <c r="AF35" s="2381"/>
      <c r="AG35" s="2381"/>
      <c r="AH35" s="2381"/>
    </row>
    <row r="36" spans="1:76" ht="12.95" customHeight="1">
      <c r="B36" s="407"/>
      <c r="X36" s="412"/>
      <c r="Y36" s="2361"/>
      <c r="Z36" s="2361"/>
      <c r="AA36" s="2361"/>
      <c r="AB36" s="2361"/>
      <c r="AC36" s="2361"/>
      <c r="AD36" s="2381"/>
      <c r="AE36" s="2381"/>
      <c r="AF36" s="2381"/>
      <c r="AG36" s="2381"/>
      <c r="AH36" s="238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2.95" customHeight="1">
      <c r="A38" s="404"/>
      <c r="B38" s="2340" t="s">
        <v>506</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67154785.100000009</v>
      </c>
      <c r="Z38" s="2334"/>
      <c r="AA38" s="2334"/>
      <c r="AB38" s="2334"/>
      <c r="AC38" s="2334"/>
      <c r="AD38" s="2334">
        <f>IF(T24&gt;=(T23+Y23+AD23+AI23),AD28+AI28,0)</f>
        <v>0</v>
      </c>
      <c r="AE38" s="2334"/>
      <c r="AF38" s="2334"/>
      <c r="AG38" s="2334"/>
      <c r="AH38" s="2334"/>
    </row>
    <row r="39" spans="1:76" ht="12.95" customHeight="1">
      <c r="B39" s="2340" t="s">
        <v>1679</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2.95" customHeight="1">
      <c r="A40" s="404"/>
      <c r="B40" s="2340" t="s">
        <v>642</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2686191</v>
      </c>
      <c r="Z40" s="2334"/>
      <c r="AA40" s="2334"/>
      <c r="AB40" s="2334"/>
      <c r="AC40" s="2334"/>
      <c r="AD40" s="2333">
        <f>ROUND(AD38*AD39,0)</f>
        <v>0</v>
      </c>
      <c r="AE40" s="2334"/>
      <c r="AF40" s="2334"/>
      <c r="AG40" s="2334"/>
      <c r="AH40" s="2334"/>
    </row>
    <row r="41" spans="1:76" ht="12.95" customHeight="1">
      <c r="B41" s="2340" t="s">
        <v>643</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2686191</v>
      </c>
      <c r="Z41" s="2336"/>
      <c r="AA41" s="2336"/>
      <c r="AB41" s="2336"/>
      <c r="AC41" s="2336"/>
      <c r="AD41" s="2336"/>
      <c r="AE41" s="2336"/>
      <c r="AF41" s="2336"/>
      <c r="AG41" s="2336"/>
      <c r="AH41" s="2333"/>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8" t="s">
        <v>1275</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2.95" customHeight="1" thickTop="1"/>
    <row r="46" spans="1:76" ht="12.95" customHeight="1">
      <c r="A46" s="404" t="s">
        <v>586</v>
      </c>
      <c r="C46" s="404" t="s">
        <v>282</v>
      </c>
    </row>
    <row r="47" spans="1:76" ht="12.95" customHeight="1">
      <c r="D47" s="404" t="s">
        <v>283</v>
      </c>
      <c r="AB47" s="2350">
        <f>'Sources and Uses Budget'!B105-MAX(IF('Sources and Uses Budget'!B15="",0,'Sources and Uses Budget'!B15),IF(Application!AG403="",0,Application!AG403))</f>
        <v>57263747</v>
      </c>
      <c r="AC47" s="2351"/>
      <c r="AD47" s="2351"/>
      <c r="AE47" s="2351"/>
      <c r="AF47" s="2352"/>
    </row>
    <row r="48" spans="1:76" ht="12.95" customHeight="1">
      <c r="D48" s="404" t="s">
        <v>21</v>
      </c>
      <c r="AB48" s="2350">
        <f>Application!AO647-MAX(IF('Sources and Uses Budget'!B15="",0,'Sources and Uses Budget'!B15),IF(Application!AG403="",0,Application!AG403))</f>
        <v>33493334</v>
      </c>
      <c r="AC48" s="2351"/>
      <c r="AD48" s="2351"/>
      <c r="AE48" s="2351"/>
      <c r="AF48" s="2352"/>
    </row>
    <row r="49" spans="1:76" ht="12.95" customHeight="1">
      <c r="D49" s="404" t="s">
        <v>91</v>
      </c>
      <c r="AB49" s="2350">
        <f>AB47-AB48</f>
        <v>23770413</v>
      </c>
      <c r="AC49" s="2351"/>
      <c r="AD49" s="2351"/>
      <c r="AE49" s="2351"/>
      <c r="AF49" s="2352"/>
    </row>
    <row r="50" spans="1:76" ht="12.95" customHeight="1">
      <c r="D50" s="404" t="s">
        <v>681</v>
      </c>
      <c r="AA50" s="415"/>
      <c r="AB50" s="2377">
        <f>23770413/(Y41*10)</f>
        <v>0.88491149735815511</v>
      </c>
      <c r="AC50" s="2378"/>
      <c r="AD50" s="2378"/>
      <c r="AE50" s="2378"/>
      <c r="AF50" s="2379"/>
    </row>
    <row r="51" spans="1:76" s="417" customFormat="1" ht="12.95" customHeight="1">
      <c r="A51" s="402"/>
      <c r="B51" s="402"/>
      <c r="C51" s="402"/>
      <c r="D51" s="402"/>
      <c r="E51" s="2380" t="s">
        <v>2537</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0">
        <f>ROUND(IF(ISERROR((AB49/AB50)),0,(AB49/AB50)),0)</f>
        <v>26861910</v>
      </c>
      <c r="AC54" s="2351"/>
      <c r="AD54" s="2351"/>
      <c r="AE54" s="2351"/>
      <c r="AF54" s="2352"/>
    </row>
    <row r="55" spans="1:76" ht="12.95" customHeight="1">
      <c r="D55" s="404" t="s">
        <v>333</v>
      </c>
      <c r="AB55" s="2350">
        <f>(AB54/10)</f>
        <v>2686191</v>
      </c>
      <c r="AC55" s="2351"/>
      <c r="AD55" s="2351"/>
      <c r="AE55" s="2351"/>
      <c r="AF55" s="2352"/>
    </row>
    <row r="56" spans="1:76" ht="12.95" customHeight="1">
      <c r="D56" s="404" t="s">
        <v>756</v>
      </c>
      <c r="AB56" s="2350">
        <f>ROUND((IF((Y41&lt;AB55),Y41,AB55)),0)</f>
        <v>2686191</v>
      </c>
      <c r="AC56" s="2351"/>
      <c r="AD56" s="2351"/>
      <c r="AE56" s="2351"/>
      <c r="AF56" s="2352"/>
    </row>
    <row r="57" spans="1:76" ht="12.95" customHeight="1">
      <c r="D57" s="404" t="s">
        <v>755</v>
      </c>
      <c r="AB57" s="2350">
        <f>ROUND((10*AB56*AB50),0)</f>
        <v>23770413</v>
      </c>
      <c r="AC57" s="2351"/>
      <c r="AD57" s="2351"/>
      <c r="AE57" s="2351"/>
      <c r="AF57" s="2352"/>
    </row>
    <row r="58" spans="1:76" ht="12.95" customHeight="1">
      <c r="D58" s="404"/>
      <c r="AB58" s="423"/>
      <c r="AC58" s="423"/>
      <c r="AD58" s="423"/>
      <c r="AE58" s="423"/>
      <c r="AF58" s="423"/>
    </row>
    <row r="59" spans="1:76" ht="12.95" customHeight="1">
      <c r="D59" s="404" t="s">
        <v>754</v>
      </c>
      <c r="AB59" s="2373">
        <f>AB49-AB57</f>
        <v>0</v>
      </c>
      <c r="AC59" s="2373"/>
      <c r="AD59" s="2373"/>
      <c r="AE59" s="2373"/>
      <c r="AF59" s="2373"/>
    </row>
    <row r="60" spans="1:76" ht="12.95" customHeight="1">
      <c r="D60" s="404"/>
      <c r="AB60" s="423"/>
      <c r="AC60" s="423"/>
      <c r="AD60" s="423"/>
      <c r="AE60" s="423"/>
      <c r="AF60" s="423"/>
    </row>
    <row r="61" spans="1:76" s="204" customFormat="1" ht="12.95"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2.95" customHeight="1" thickTop="1"/>
    <row r="63" spans="1:76" ht="12.95" customHeight="1">
      <c r="A63" s="404" t="s">
        <v>589</v>
      </c>
      <c r="C63" s="205" t="s">
        <v>1247</v>
      </c>
      <c r="Y63" s="2374" t="s">
        <v>983</v>
      </c>
      <c r="Z63" s="2374"/>
      <c r="AA63" s="2374"/>
      <c r="AB63" s="2374"/>
      <c r="AC63" s="2374"/>
      <c r="AD63" s="2374" t="s">
        <v>369</v>
      </c>
      <c r="AE63" s="2374"/>
      <c r="AF63" s="2374"/>
      <c r="AG63" s="2374"/>
      <c r="AH63" s="2374"/>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0</v>
      </c>
      <c r="Z64" s="2375"/>
      <c r="AA64" s="2375"/>
      <c r="AB64" s="2375"/>
      <c r="AC64" s="2376"/>
      <c r="AD64" s="2335">
        <f>IF(AND(OR(Application!D211="At-Risk",Application!D211="At-Risk and Special Needs"),Application!M367="yes"),AD28+AI28,0)</f>
        <v>0</v>
      </c>
      <c r="AE64" s="2375"/>
      <c r="AF64" s="2375"/>
      <c r="AG64" s="2375"/>
      <c r="AH64" s="2376"/>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8">
        <f>IF(OR(Application!Z205="State Farmworker Credit",Application!Z205="$500M (Farmworker Housing)"),0.75,IF(Application!Z205="15% set-aside",0.13,IF(Application!Z205="15% set-aside with qualifying low value rehab",0.95,IF(Application!Z205="$500M",0.3,0))))</f>
        <v>0</v>
      </c>
      <c r="Z67" s="2388"/>
      <c r="AA67" s="2388"/>
      <c r="AB67" s="2388"/>
      <c r="AC67" s="2388"/>
      <c r="AD67" s="2388">
        <f>IF(Application!Z205="15% set-aside with qualifying low value rehab", 0.95,IF(OR(Application!D211="At-Risk",'Points System'!B26="Yes"),0.13,0))</f>
        <v>0</v>
      </c>
      <c r="AE67" s="2388"/>
      <c r="AF67" s="2388"/>
      <c r="AG67" s="2388"/>
      <c r="AH67" s="2388"/>
    </row>
    <row r="68" spans="1:37" ht="12.95" customHeight="1">
      <c r="C68" s="404"/>
      <c r="D68" s="205" t="s">
        <v>2179</v>
      </c>
      <c r="Y68" s="2334">
        <f>IF(AND(T25=1.3,OR(Y67=0.13,Y67=0.95),NOT(Application!T212&gt;=50%)),0,ROUND(Y64*Y67,0))</f>
        <v>0</v>
      </c>
      <c r="Z68" s="2389"/>
      <c r="AA68" s="2389"/>
      <c r="AB68" s="2389"/>
      <c r="AC68" s="2389"/>
      <c r="AD68" s="2334">
        <f>IF(AND(T25=1.3,AD67&gt;0,NOT(Application!T212&gt;=50%)),0,ROUND(AD64*AD67,0))</f>
        <v>0</v>
      </c>
      <c r="AE68" s="2389"/>
      <c r="AF68" s="2389"/>
      <c r="AG68" s="2389"/>
      <c r="AH68" s="2389"/>
      <c r="AK68" s="1192"/>
    </row>
    <row r="69" spans="1:37" ht="12.95" customHeight="1">
      <c r="C69" s="404"/>
      <c r="D69" s="205" t="s">
        <v>2180</v>
      </c>
      <c r="Y69" s="2334">
        <f>IF(OR(Application!Z205="State Farmworker Credit",Application!Z205="$500M (Farmworker Housing)"),Y68+AD68,MIN(Y68+AD68,200000*(Application!G761+Application!O785)))</f>
        <v>0</v>
      </c>
      <c r="Z69" s="2334"/>
      <c r="AA69" s="2334"/>
      <c r="AB69" s="2334"/>
      <c r="AC69" s="2334"/>
      <c r="AD69" s="2334"/>
      <c r="AE69" s="2334"/>
      <c r="AF69" s="2334"/>
      <c r="AG69" s="2334"/>
      <c r="AH69" s="2334"/>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1249</v>
      </c>
      <c r="AB72" s="2377"/>
      <c r="AC72" s="2378"/>
      <c r="AD72" s="2378"/>
      <c r="AE72" s="2378"/>
      <c r="AF72" s="2379"/>
    </row>
    <row r="73" spans="1:37" ht="12.95" customHeight="1">
      <c r="A73" s="404"/>
      <c r="C73" s="404"/>
      <c r="D73" s="404"/>
      <c r="E73" s="2390" t="s">
        <v>1250</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7" ht="12.95"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7" ht="12.95"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83">
        <f>ROUND(IF(ISERROR((AB59/AB72)),0,(AB59/AB72)),0)</f>
        <v>0</v>
      </c>
      <c r="AC77" s="2383"/>
      <c r="AD77" s="2383"/>
      <c r="AE77" s="2383"/>
      <c r="AF77" s="2383"/>
    </row>
    <row r="78" spans="1:37" ht="12.95" customHeight="1">
      <c r="C78" s="404"/>
      <c r="D78" s="205" t="s">
        <v>1252</v>
      </c>
      <c r="AB78" s="2384">
        <f>ROUNDUP(MIN(Y69,AB77),0)</f>
        <v>0</v>
      </c>
      <c r="AC78" s="2385"/>
      <c r="AD78" s="2385"/>
      <c r="AE78" s="2385"/>
      <c r="AF78" s="2386"/>
    </row>
    <row r="79" spans="1:37" ht="12.95" customHeight="1">
      <c r="C79" s="404"/>
      <c r="D79" s="205" t="s">
        <v>1253</v>
      </c>
      <c r="AB79" s="2387">
        <f>AB78*AB72</f>
        <v>0</v>
      </c>
      <c r="AC79" s="2387"/>
      <c r="AD79" s="2387"/>
      <c r="AE79" s="2387"/>
      <c r="AF79" s="2387"/>
    </row>
    <row r="80" spans="1:37" ht="12.95" customHeight="1">
      <c r="C80" s="404"/>
      <c r="D80" s="404"/>
      <c r="AB80" s="425"/>
      <c r="AC80" s="425"/>
      <c r="AD80" s="425"/>
      <c r="AE80" s="425"/>
      <c r="AF80" s="425"/>
    </row>
    <row r="81" spans="1:78" ht="12.95" customHeight="1">
      <c r="D81" s="404" t="s">
        <v>754</v>
      </c>
      <c r="AB81" s="2373">
        <f>AB49-(AB57+AB79)</f>
        <v>0</v>
      </c>
      <c r="AC81" s="2373"/>
      <c r="AD81" s="2373"/>
      <c r="AE81" s="2373"/>
      <c r="AF81" s="2373"/>
    </row>
    <row r="82" spans="1:78" ht="12.95" customHeight="1">
      <c r="F82" s="522"/>
      <c r="J82" s="522" t="str">
        <f>IF(AB81&gt;0,"FUNDING GAP MUST NOT EXCEED ZERO","")</f>
        <v/>
      </c>
    </row>
    <row r="83" spans="1:78" ht="12.95" customHeight="1">
      <c r="D83" s="523"/>
    </row>
    <row r="84" spans="1:78" ht="12.95"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2.95" customHeight="1" thickTop="1"/>
    <row r="86" spans="1:78" ht="12.95" hidden="1" customHeight="1">
      <c r="A86" s="404"/>
      <c r="C86" s="205"/>
    </row>
    <row r="87" spans="1:78" ht="12.95" hidden="1" customHeight="1">
      <c r="D87" s="205"/>
      <c r="AB87" s="2339"/>
      <c r="AC87" s="2339"/>
      <c r="AD87" s="2339"/>
      <c r="AE87" s="2339"/>
      <c r="AF87" s="2339"/>
    </row>
    <row r="88" spans="1:78" ht="12.95" hidden="1"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90" zoomScaleNormal="90" workbookViewId="0">
      <selection activeCell="T127" sqref="T1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22" t="s">
        <v>1298</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row>
    <row r="2" spans="1:41" s="536" customFormat="1" ht="12.75" customHeight="1" thickBot="1">
      <c r="A2" s="2623"/>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2550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1" t="s">
        <v>1302</v>
      </c>
      <c r="AF7" s="2451"/>
      <c r="AG7" s="2451"/>
      <c r="AH7" s="2451"/>
      <c r="AI7" s="2451"/>
      <c r="AJ7" s="2451"/>
      <c r="AK7" s="2451"/>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3" t="s">
        <v>591</v>
      </c>
      <c r="C12" s="2593"/>
      <c r="D12" s="540"/>
      <c r="E12" s="2454" t="s">
        <v>2551</v>
      </c>
      <c r="F12" s="2455"/>
      <c r="G12" s="2455"/>
      <c r="H12" s="2455"/>
      <c r="I12" s="2455"/>
      <c r="J12" s="2455"/>
      <c r="K12" s="2455"/>
      <c r="L12" s="2455"/>
      <c r="M12" s="2455"/>
      <c r="N12" s="2455"/>
      <c r="O12" s="2455"/>
      <c r="P12" s="2455"/>
      <c r="Q12" s="2455"/>
      <c r="R12" s="2455"/>
      <c r="S12" s="2455"/>
      <c r="T12" s="2455"/>
      <c r="U12" s="2455"/>
      <c r="V12" s="2455"/>
      <c r="W12" s="2455"/>
      <c r="X12" s="2455"/>
      <c r="Y12" s="2455"/>
      <c r="Z12" s="2455"/>
      <c r="AA12" s="2455"/>
      <c r="AB12" s="2455"/>
      <c r="AC12" s="2455"/>
      <c r="AD12" s="2455"/>
      <c r="AE12" s="2455"/>
      <c r="AF12" s="2455"/>
      <c r="AG12" s="2455"/>
      <c r="AH12" s="2455"/>
      <c r="AI12" s="2455"/>
      <c r="AJ12" s="2456"/>
      <c r="AK12" s="540"/>
      <c r="AL12" s="540"/>
      <c r="AM12" s="540"/>
      <c r="AN12" s="535"/>
      <c r="AO12" s="557"/>
    </row>
    <row r="13" spans="1:41" s="536" customFormat="1" ht="12.75" customHeight="1">
      <c r="A13" s="540"/>
      <c r="D13" s="546"/>
      <c r="E13" s="2457"/>
      <c r="F13" s="2458"/>
      <c r="G13" s="2458"/>
      <c r="H13" s="2458"/>
      <c r="I13" s="2458"/>
      <c r="J13" s="2458"/>
      <c r="K13" s="2458"/>
      <c r="L13" s="2458"/>
      <c r="M13" s="2458"/>
      <c r="N13" s="2458"/>
      <c r="O13" s="2458"/>
      <c r="P13" s="2458"/>
      <c r="Q13" s="2458"/>
      <c r="R13" s="2458"/>
      <c r="S13" s="2458"/>
      <c r="T13" s="2458"/>
      <c r="U13" s="2458"/>
      <c r="V13" s="2458"/>
      <c r="W13" s="2458"/>
      <c r="X13" s="2458"/>
      <c r="Y13" s="2458"/>
      <c r="Z13" s="2458"/>
      <c r="AA13" s="2458"/>
      <c r="AB13" s="2458"/>
      <c r="AC13" s="2458"/>
      <c r="AD13" s="2458"/>
      <c r="AE13" s="2458"/>
      <c r="AF13" s="2458"/>
      <c r="AG13" s="2458"/>
      <c r="AH13" s="2458"/>
      <c r="AI13" s="2458"/>
      <c r="AJ13" s="2459"/>
      <c r="AK13" s="540"/>
      <c r="AL13" s="540"/>
      <c r="AM13" s="540"/>
      <c r="AN13" s="535"/>
      <c r="AO13" s="557"/>
    </row>
    <row r="14" spans="1:41" s="536" customFormat="1" ht="12.75" customHeight="1">
      <c r="A14" s="540"/>
      <c r="D14" s="540"/>
      <c r="E14" s="2610"/>
      <c r="F14" s="2611"/>
      <c r="G14" s="2611"/>
      <c r="H14" s="2611"/>
      <c r="I14" s="2611"/>
      <c r="J14" s="2611"/>
      <c r="K14" s="2611"/>
      <c r="L14" s="2611"/>
      <c r="M14" s="2611"/>
      <c r="N14" s="2611"/>
      <c r="O14" s="2611"/>
      <c r="P14" s="2611"/>
      <c r="Q14" s="2611"/>
      <c r="R14" s="2611"/>
      <c r="S14" s="2611"/>
      <c r="T14" s="2611"/>
      <c r="U14" s="2611"/>
      <c r="V14" s="2611"/>
      <c r="W14" s="2611"/>
      <c r="X14" s="2611"/>
      <c r="Y14" s="2611"/>
      <c r="Z14" s="2611"/>
      <c r="AA14" s="2611"/>
      <c r="AB14" s="2611"/>
      <c r="AC14" s="2611"/>
      <c r="AD14" s="2611"/>
      <c r="AE14" s="2611"/>
      <c r="AF14" s="2611"/>
      <c r="AG14" s="2611"/>
      <c r="AH14" s="2611"/>
      <c r="AI14" s="2611"/>
      <c r="AJ14" s="26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3" t="s">
        <v>591</v>
      </c>
      <c r="C16" s="2593"/>
      <c r="D16" s="540"/>
      <c r="E16" s="2454" t="s">
        <v>2552</v>
      </c>
      <c r="F16" s="2455"/>
      <c r="G16" s="2455"/>
      <c r="H16" s="2455"/>
      <c r="I16" s="2455"/>
      <c r="J16" s="2455"/>
      <c r="K16" s="2455"/>
      <c r="L16" s="2455"/>
      <c r="M16" s="2455"/>
      <c r="N16" s="2455"/>
      <c r="O16" s="2455"/>
      <c r="P16" s="2455"/>
      <c r="Q16" s="2455"/>
      <c r="R16" s="2455"/>
      <c r="S16" s="2455"/>
      <c r="T16" s="2455"/>
      <c r="U16" s="2455"/>
      <c r="V16" s="2455"/>
      <c r="W16" s="2455"/>
      <c r="X16" s="2455"/>
      <c r="Y16" s="2455"/>
      <c r="Z16" s="2455"/>
      <c r="AA16" s="2455"/>
      <c r="AB16" s="2455"/>
      <c r="AC16" s="2455"/>
      <c r="AD16" s="2455"/>
      <c r="AE16" s="2455"/>
      <c r="AF16" s="2455"/>
      <c r="AG16" s="2455"/>
      <c r="AH16" s="2455"/>
      <c r="AI16" s="2455"/>
      <c r="AJ16" s="2456"/>
      <c r="AK16" s="540"/>
      <c r="AL16" s="540"/>
      <c r="AM16" s="540"/>
      <c r="AN16" s="535"/>
    </row>
    <row r="17" spans="1:50" s="536" customFormat="1" ht="12.75" customHeight="1">
      <c r="A17" s="540"/>
      <c r="B17" s="540"/>
      <c r="C17" s="540"/>
      <c r="D17" s="540"/>
      <c r="E17" s="2457"/>
      <c r="F17" s="2458"/>
      <c r="G17" s="2458"/>
      <c r="H17" s="2458"/>
      <c r="I17" s="2458"/>
      <c r="J17" s="2458"/>
      <c r="K17" s="2458"/>
      <c r="L17" s="2458"/>
      <c r="M17" s="2458"/>
      <c r="N17" s="2458"/>
      <c r="O17" s="2458"/>
      <c r="P17" s="2458"/>
      <c r="Q17" s="2458"/>
      <c r="R17" s="2458"/>
      <c r="S17" s="2458"/>
      <c r="T17" s="2458"/>
      <c r="U17" s="2458"/>
      <c r="V17" s="2458"/>
      <c r="W17" s="2458"/>
      <c r="X17" s="2458"/>
      <c r="Y17" s="2458"/>
      <c r="Z17" s="2458"/>
      <c r="AA17" s="2458"/>
      <c r="AB17" s="2458"/>
      <c r="AC17" s="2458"/>
      <c r="AD17" s="2458"/>
      <c r="AE17" s="2458"/>
      <c r="AF17" s="2458"/>
      <c r="AG17" s="2458"/>
      <c r="AH17" s="2458"/>
      <c r="AI17" s="2458"/>
      <c r="AJ17" s="2459"/>
      <c r="AK17" s="540"/>
      <c r="AL17" s="540"/>
      <c r="AM17" s="540"/>
      <c r="AN17" s="535"/>
    </row>
    <row r="18" spans="1:50" s="536" customFormat="1" ht="12.75" customHeight="1">
      <c r="A18" s="540"/>
      <c r="B18" s="540"/>
      <c r="C18" s="1135"/>
      <c r="D18" s="540"/>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3" t="s">
        <v>591</v>
      </c>
      <c r="C20" s="2593"/>
      <c r="D20" s="540"/>
      <c r="E20" s="2454" t="s">
        <v>1979</v>
      </c>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6"/>
      <c r="AK20" s="540"/>
      <c r="AL20" s="540"/>
      <c r="AM20" s="540"/>
      <c r="AN20" s="535"/>
    </row>
    <row r="21" spans="1:50" s="536" customFormat="1" ht="12.75" customHeight="1">
      <c r="A21" s="540"/>
      <c r="B21" s="546"/>
      <c r="C21" s="546"/>
      <c r="D21" s="546"/>
      <c r="E21" s="2610"/>
      <c r="F21" s="2611"/>
      <c r="G21" s="2611"/>
      <c r="H21" s="2611"/>
      <c r="I21" s="2611"/>
      <c r="J21" s="2611"/>
      <c r="K21" s="2611"/>
      <c r="L21" s="2611"/>
      <c r="M21" s="2611"/>
      <c r="N21" s="2611"/>
      <c r="O21" s="2611"/>
      <c r="P21" s="2611"/>
      <c r="Q21" s="2611"/>
      <c r="R21" s="2611"/>
      <c r="S21" s="2611"/>
      <c r="T21" s="2611"/>
      <c r="U21" s="2611"/>
      <c r="V21" s="2611"/>
      <c r="W21" s="2611"/>
      <c r="X21" s="2611"/>
      <c r="Y21" s="2611"/>
      <c r="Z21" s="2611"/>
      <c r="AA21" s="2611"/>
      <c r="AB21" s="2611"/>
      <c r="AC21" s="2611"/>
      <c r="AD21" s="2611"/>
      <c r="AE21" s="2611"/>
      <c r="AF21" s="2611"/>
      <c r="AG21" s="2611"/>
      <c r="AH21" s="2611"/>
      <c r="AI21" s="2611"/>
      <c r="AJ21" s="2612"/>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3" t="s">
        <v>591</v>
      </c>
      <c r="C26" s="2593"/>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4"/>
      <c r="AH26" s="2624"/>
      <c r="AI26" s="2624"/>
      <c r="AJ26" s="2625"/>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3" t="s">
        <v>591</v>
      </c>
      <c r="C30" s="2593"/>
      <c r="D30" s="546"/>
      <c r="E30" s="2626" t="s">
        <v>2559</v>
      </c>
      <c r="F30" s="2627"/>
      <c r="G30" s="2627"/>
      <c r="H30" s="2627"/>
      <c r="I30" s="2627"/>
      <c r="J30" s="2627"/>
      <c r="K30" s="2627"/>
      <c r="L30" s="2627"/>
      <c r="M30" s="2627"/>
      <c r="N30" s="2627"/>
      <c r="O30" s="2627"/>
      <c r="P30" s="2627"/>
      <c r="Q30" s="2627"/>
      <c r="R30" s="2627"/>
      <c r="S30" s="2627"/>
      <c r="T30" s="2627"/>
      <c r="U30" s="2627"/>
      <c r="V30" s="2627"/>
      <c r="W30" s="2627"/>
      <c r="X30" s="2627"/>
      <c r="Y30" s="2627"/>
      <c r="Z30" s="2627"/>
      <c r="AA30" s="2627"/>
      <c r="AB30" s="2627"/>
      <c r="AC30" s="2627"/>
      <c r="AD30" s="2627"/>
      <c r="AE30" s="2627"/>
      <c r="AF30" s="2627"/>
      <c r="AG30" s="2627"/>
      <c r="AH30" s="2627"/>
      <c r="AI30" s="2627"/>
      <c r="AJ30" s="2628"/>
      <c r="AK30" s="540"/>
      <c r="AL30" s="540"/>
      <c r="AM30" s="540"/>
      <c r="AN30" s="535"/>
      <c r="AO30" s="549">
        <f>IF($B30="yes",9,0)</f>
        <v>0</v>
      </c>
    </row>
    <row r="31" spans="1:50" s="536" customFormat="1" ht="12.75" customHeight="1">
      <c r="A31" s="540"/>
      <c r="B31" s="540"/>
      <c r="C31" s="540"/>
      <c r="E31" s="2632"/>
      <c r="F31" s="2633"/>
      <c r="G31" s="2633"/>
      <c r="H31" s="2633"/>
      <c r="I31" s="2633"/>
      <c r="J31" s="2633"/>
      <c r="K31" s="2633"/>
      <c r="L31" s="2633"/>
      <c r="M31" s="2633"/>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4"/>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3" t="s">
        <v>591</v>
      </c>
      <c r="C33" s="2593"/>
      <c r="D33" s="546"/>
      <c r="E33" s="2626" t="s">
        <v>2560</v>
      </c>
      <c r="F33" s="2627"/>
      <c r="G33" s="2627"/>
      <c r="H33" s="2627"/>
      <c r="I33" s="2627"/>
      <c r="J33" s="2627"/>
      <c r="K33" s="2627"/>
      <c r="L33" s="2627"/>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8"/>
      <c r="AK33" s="540"/>
      <c r="AL33" s="540"/>
      <c r="AM33" s="540"/>
      <c r="AN33" s="535"/>
      <c r="AO33" s="549">
        <f>IF($B39="yes",9,0)</f>
        <v>0</v>
      </c>
    </row>
    <row r="34" spans="1:43" s="536" customFormat="1" ht="12.75" customHeight="1">
      <c r="A34" s="540"/>
      <c r="B34" s="540"/>
      <c r="C34" s="540"/>
      <c r="D34" s="546"/>
      <c r="E34" s="2629"/>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30"/>
      <c r="AB34" s="2630"/>
      <c r="AC34" s="2630"/>
      <c r="AD34" s="2630"/>
      <c r="AE34" s="2630"/>
      <c r="AF34" s="2630"/>
      <c r="AG34" s="2630"/>
      <c r="AH34" s="2630"/>
      <c r="AI34" s="2630"/>
      <c r="AJ34" s="2631"/>
      <c r="AK34" s="540"/>
      <c r="AL34" s="540"/>
      <c r="AM34" s="540"/>
      <c r="AN34" s="535"/>
      <c r="AO34" s="536">
        <f>MAX(AO30,AO31,AO32,AO33)</f>
        <v>0</v>
      </c>
      <c r="AP34" s="536" t="s">
        <v>1304</v>
      </c>
    </row>
    <row r="35" spans="1:43" s="536" customFormat="1" ht="12.75" customHeight="1">
      <c r="A35" s="540"/>
      <c r="B35" s="540"/>
      <c r="C35" s="540"/>
      <c r="E35" s="2632"/>
      <c r="F35" s="2633"/>
      <c r="G35" s="2633"/>
      <c r="H35" s="2633"/>
      <c r="I35" s="2633"/>
      <c r="J35" s="2633"/>
      <c r="K35" s="2633"/>
      <c r="L35" s="2633"/>
      <c r="M35" s="2633"/>
      <c r="N35" s="2633"/>
      <c r="O35" s="2633"/>
      <c r="P35" s="2633"/>
      <c r="Q35" s="2633"/>
      <c r="R35" s="2633"/>
      <c r="S35" s="2633"/>
      <c r="T35" s="2633"/>
      <c r="U35" s="2633"/>
      <c r="V35" s="2633"/>
      <c r="W35" s="2633"/>
      <c r="X35" s="2633"/>
      <c r="Y35" s="2633"/>
      <c r="Z35" s="2633"/>
      <c r="AA35" s="2633"/>
      <c r="AB35" s="2633"/>
      <c r="AC35" s="2633"/>
      <c r="AD35" s="2633"/>
      <c r="AE35" s="2633"/>
      <c r="AF35" s="2633"/>
      <c r="AG35" s="2633"/>
      <c r="AH35" s="2633"/>
      <c r="AI35" s="2633"/>
      <c r="AJ35" s="2634"/>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3" t="s">
        <v>591</v>
      </c>
      <c r="C37" s="2593"/>
      <c r="D37" s="1136"/>
      <c r="E37" s="2619" t="s">
        <v>2564</v>
      </c>
      <c r="F37" s="2620"/>
      <c r="G37" s="2620"/>
      <c r="H37" s="2620"/>
      <c r="I37" s="2620"/>
      <c r="J37" s="2620"/>
      <c r="K37" s="2620"/>
      <c r="L37" s="2620"/>
      <c r="M37" s="2620"/>
      <c r="N37" s="2620"/>
      <c r="O37" s="2620"/>
      <c r="P37" s="2620"/>
      <c r="Q37" s="2620"/>
      <c r="R37" s="2620"/>
      <c r="S37" s="2620"/>
      <c r="T37" s="2620"/>
      <c r="U37" s="2620"/>
      <c r="V37" s="2620"/>
      <c r="W37" s="2620"/>
      <c r="X37" s="2620"/>
      <c r="Y37" s="2620"/>
      <c r="Z37" s="2620"/>
      <c r="AA37" s="2620"/>
      <c r="AB37" s="2620"/>
      <c r="AC37" s="2620"/>
      <c r="AD37" s="2620"/>
      <c r="AE37" s="2620"/>
      <c r="AF37" s="2620"/>
      <c r="AG37" s="2620"/>
      <c r="AH37" s="2620"/>
      <c r="AI37" s="2620"/>
      <c r="AJ37" s="2621"/>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3" t="s">
        <v>591</v>
      </c>
      <c r="C39" s="2593"/>
      <c r="D39" s="1136"/>
      <c r="E39" s="2619" t="s">
        <v>2561</v>
      </c>
      <c r="F39" s="2620"/>
      <c r="G39" s="2620"/>
      <c r="H39" s="2620"/>
      <c r="I39" s="2620"/>
      <c r="J39" s="2620"/>
      <c r="K39" s="2620"/>
      <c r="L39" s="2620"/>
      <c r="M39" s="2620"/>
      <c r="N39" s="2620"/>
      <c r="O39" s="2620"/>
      <c r="P39" s="2620"/>
      <c r="Q39" s="2620"/>
      <c r="R39" s="2620"/>
      <c r="S39" s="2620"/>
      <c r="T39" s="2620"/>
      <c r="U39" s="2620"/>
      <c r="V39" s="2620"/>
      <c r="W39" s="2620"/>
      <c r="X39" s="2620"/>
      <c r="Y39" s="2620"/>
      <c r="Z39" s="2620"/>
      <c r="AA39" s="2620"/>
      <c r="AB39" s="2620"/>
      <c r="AC39" s="2620"/>
      <c r="AD39" s="2620"/>
      <c r="AE39" s="2620"/>
      <c r="AF39" s="2620"/>
      <c r="AG39" s="2620"/>
      <c r="AH39" s="2620"/>
      <c r="AI39" s="2620"/>
      <c r="AJ39" s="2621"/>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3" t="s">
        <v>591</v>
      </c>
      <c r="C43" s="2593"/>
      <c r="D43" s="546"/>
      <c r="E43" s="2594" t="s">
        <v>2563</v>
      </c>
      <c r="F43" s="2595"/>
      <c r="G43" s="2595"/>
      <c r="H43" s="2595"/>
      <c r="I43" s="2595"/>
      <c r="J43" s="2595"/>
      <c r="K43" s="2595"/>
      <c r="L43" s="2595"/>
      <c r="M43" s="2595"/>
      <c r="N43" s="2595"/>
      <c r="O43" s="2595"/>
      <c r="P43" s="2595"/>
      <c r="Q43" s="2595"/>
      <c r="R43" s="2595"/>
      <c r="S43" s="2595"/>
      <c r="T43" s="2595"/>
      <c r="U43" s="2595"/>
      <c r="V43" s="2595"/>
      <c r="W43" s="2595"/>
      <c r="X43" s="2595"/>
      <c r="Y43" s="2595"/>
      <c r="Z43" s="2595"/>
      <c r="AA43" s="2595"/>
      <c r="AB43" s="2595"/>
      <c r="AC43" s="2595"/>
      <c r="AD43" s="2595"/>
      <c r="AE43" s="2595"/>
      <c r="AF43" s="2595"/>
      <c r="AG43" s="2595"/>
      <c r="AH43" s="2595"/>
      <c r="AI43" s="2595"/>
      <c r="AJ43" s="2596"/>
      <c r="AK43" s="540"/>
      <c r="AL43" s="540"/>
      <c r="AM43" s="540"/>
      <c r="AN43" s="535"/>
      <c r="AO43" s="549">
        <f>IF($B43="yes",8,0)</f>
        <v>0</v>
      </c>
      <c r="AP43" s="14"/>
    </row>
    <row r="44" spans="1:43" s="536" customFormat="1" ht="12.75" customHeight="1">
      <c r="A44" s="540"/>
      <c r="B44" s="540"/>
      <c r="C44" s="540"/>
      <c r="D44" s="550"/>
      <c r="E44" s="2635"/>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7"/>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3" t="s">
        <v>591</v>
      </c>
      <c r="C46" s="2593"/>
      <c r="D46" s="546"/>
      <c r="E46" s="2626" t="s">
        <v>2562</v>
      </c>
      <c r="F46" s="2627"/>
      <c r="G46" s="2627"/>
      <c r="H46" s="2627"/>
      <c r="I46" s="2627"/>
      <c r="J46" s="2627"/>
      <c r="K46" s="2627"/>
      <c r="L46" s="2627"/>
      <c r="M46" s="2627"/>
      <c r="N46" s="2627"/>
      <c r="O46" s="2627"/>
      <c r="P46" s="2627"/>
      <c r="Q46" s="2627"/>
      <c r="R46" s="2627"/>
      <c r="S46" s="2627"/>
      <c r="T46" s="2627"/>
      <c r="U46" s="2627"/>
      <c r="V46" s="2627"/>
      <c r="W46" s="2627"/>
      <c r="X46" s="2627"/>
      <c r="Y46" s="2627"/>
      <c r="Z46" s="2627"/>
      <c r="AA46" s="2627"/>
      <c r="AB46" s="2627"/>
      <c r="AC46" s="2627"/>
      <c r="AD46" s="2627"/>
      <c r="AE46" s="2627"/>
      <c r="AF46" s="2627"/>
      <c r="AG46" s="2627"/>
      <c r="AH46" s="2627"/>
      <c r="AI46" s="2627"/>
      <c r="AJ46" s="2628"/>
      <c r="AK46" s="540"/>
      <c r="AL46" s="540"/>
      <c r="AM46" s="540"/>
      <c r="AN46" s="535"/>
      <c r="AO46" s="549">
        <f>IF($B52="yes",8,0)</f>
        <v>0</v>
      </c>
    </row>
    <row r="47" spans="1:43" s="536" customFormat="1" ht="12.75" customHeight="1">
      <c r="A47" s="540"/>
      <c r="B47" s="540"/>
      <c r="C47" s="540"/>
      <c r="D47" s="549"/>
      <c r="E47" s="2632"/>
      <c r="F47" s="2633"/>
      <c r="G47" s="2633"/>
      <c r="H47" s="2633"/>
      <c r="I47" s="2633"/>
      <c r="J47" s="2633"/>
      <c r="K47" s="2633"/>
      <c r="L47" s="2633"/>
      <c r="M47" s="2633"/>
      <c r="N47" s="2633"/>
      <c r="O47" s="2633"/>
      <c r="P47" s="2633"/>
      <c r="Q47" s="2633"/>
      <c r="R47" s="2633"/>
      <c r="S47" s="2633"/>
      <c r="T47" s="2633"/>
      <c r="U47" s="2633"/>
      <c r="V47" s="2633"/>
      <c r="W47" s="2633"/>
      <c r="X47" s="2633"/>
      <c r="Y47" s="2633"/>
      <c r="Z47" s="2633"/>
      <c r="AA47" s="2633"/>
      <c r="AB47" s="2633"/>
      <c r="AC47" s="2633"/>
      <c r="AD47" s="2633"/>
      <c r="AE47" s="2633"/>
      <c r="AF47" s="2633"/>
      <c r="AG47" s="2633"/>
      <c r="AH47" s="2633"/>
      <c r="AI47" s="2633"/>
      <c r="AJ47" s="2634"/>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3" t="s">
        <v>591</v>
      </c>
      <c r="C49" s="2593"/>
      <c r="D49" s="546"/>
      <c r="E49" s="2454" t="s">
        <v>1993</v>
      </c>
      <c r="F49" s="2455"/>
      <c r="G49" s="2455"/>
      <c r="H49" s="2455"/>
      <c r="I49" s="2455"/>
      <c r="J49" s="2455"/>
      <c r="K49" s="2455"/>
      <c r="L49" s="2455"/>
      <c r="M49" s="2455"/>
      <c r="N49" s="2455"/>
      <c r="O49" s="2455"/>
      <c r="P49" s="2455"/>
      <c r="Q49" s="2455"/>
      <c r="R49" s="2455"/>
      <c r="S49" s="2455"/>
      <c r="T49" s="2455"/>
      <c r="U49" s="2455"/>
      <c r="V49" s="2455"/>
      <c r="W49" s="2455"/>
      <c r="X49" s="2455"/>
      <c r="Y49" s="2455"/>
      <c r="Z49" s="2455"/>
      <c r="AA49" s="2455"/>
      <c r="AB49" s="2455"/>
      <c r="AC49" s="2455"/>
      <c r="AD49" s="2455"/>
      <c r="AE49" s="2455"/>
      <c r="AF49" s="2455"/>
      <c r="AG49" s="2455"/>
      <c r="AH49" s="2455"/>
      <c r="AI49" s="2455"/>
      <c r="AJ49" s="2456"/>
      <c r="AK49" s="540"/>
      <c r="AL49" s="540"/>
      <c r="AM49" s="540"/>
      <c r="AN49" s="535"/>
      <c r="AO49" s="549"/>
    </row>
    <row r="50" spans="1:42" s="536" customFormat="1" ht="12.75" customHeight="1">
      <c r="A50" s="540"/>
      <c r="B50" s="540"/>
      <c r="C50" s="540"/>
      <c r="D50" s="549"/>
      <c r="E50" s="2610"/>
      <c r="F50" s="2611"/>
      <c r="G50" s="2611"/>
      <c r="H50" s="2611"/>
      <c r="I50" s="2611"/>
      <c r="J50" s="2611"/>
      <c r="K50" s="2611"/>
      <c r="L50" s="2611"/>
      <c r="M50" s="2611"/>
      <c r="N50" s="2611"/>
      <c r="O50" s="2611"/>
      <c r="P50" s="2611"/>
      <c r="Q50" s="2611"/>
      <c r="R50" s="2611"/>
      <c r="S50" s="2611"/>
      <c r="T50" s="2611"/>
      <c r="U50" s="2611"/>
      <c r="V50" s="2611"/>
      <c r="W50" s="2611"/>
      <c r="X50" s="2611"/>
      <c r="Y50" s="2611"/>
      <c r="Z50" s="2611"/>
      <c r="AA50" s="2611"/>
      <c r="AB50" s="2611"/>
      <c r="AC50" s="2611"/>
      <c r="AD50" s="2611"/>
      <c r="AE50" s="2611"/>
      <c r="AF50" s="2611"/>
      <c r="AG50" s="2611"/>
      <c r="AH50" s="2611"/>
      <c r="AI50" s="2611"/>
      <c r="AJ50" s="26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3" t="s">
        <v>591</v>
      </c>
      <c r="C52" s="2593"/>
      <c r="D52" s="546"/>
      <c r="E52" s="2619" t="s">
        <v>2202</v>
      </c>
      <c r="F52" s="2620"/>
      <c r="G52" s="2620"/>
      <c r="H52" s="2620"/>
      <c r="I52" s="2620"/>
      <c r="J52" s="2620"/>
      <c r="K52" s="2620"/>
      <c r="L52" s="2620"/>
      <c r="M52" s="2620"/>
      <c r="N52" s="2620"/>
      <c r="O52" s="2620"/>
      <c r="P52" s="2620"/>
      <c r="Q52" s="2620"/>
      <c r="R52" s="2620"/>
      <c r="S52" s="2620"/>
      <c r="T52" s="2620"/>
      <c r="U52" s="2620"/>
      <c r="V52" s="2620"/>
      <c r="W52" s="2620"/>
      <c r="X52" s="2620"/>
      <c r="Y52" s="2620"/>
      <c r="Z52" s="2620"/>
      <c r="AA52" s="2620"/>
      <c r="AB52" s="2620"/>
      <c r="AC52" s="2620"/>
      <c r="AD52" s="2620"/>
      <c r="AE52" s="2620"/>
      <c r="AF52" s="2620"/>
      <c r="AG52" s="2620"/>
      <c r="AH52" s="2620"/>
      <c r="AI52" s="2620"/>
      <c r="AJ52" s="2621"/>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3" t="s">
        <v>591</v>
      </c>
      <c r="C56" s="2593"/>
      <c r="D56" s="546"/>
      <c r="E56" s="2454" t="s">
        <v>2565</v>
      </c>
      <c r="F56" s="2455"/>
      <c r="G56" s="2455"/>
      <c r="H56" s="2455"/>
      <c r="I56" s="2455"/>
      <c r="J56" s="2455"/>
      <c r="K56" s="2455"/>
      <c r="L56" s="2455"/>
      <c r="M56" s="2455"/>
      <c r="N56" s="2455"/>
      <c r="O56" s="2455"/>
      <c r="P56" s="2455"/>
      <c r="Q56" s="2455"/>
      <c r="R56" s="2455"/>
      <c r="S56" s="2455"/>
      <c r="T56" s="2455"/>
      <c r="U56" s="2455"/>
      <c r="V56" s="2455"/>
      <c r="W56" s="2455"/>
      <c r="X56" s="2455"/>
      <c r="Y56" s="2455"/>
      <c r="Z56" s="2455"/>
      <c r="AA56" s="2455"/>
      <c r="AB56" s="2455"/>
      <c r="AC56" s="2455"/>
      <c r="AD56" s="2455"/>
      <c r="AE56" s="2455"/>
      <c r="AF56" s="2455"/>
      <c r="AG56" s="2455"/>
      <c r="AH56" s="2455"/>
      <c r="AI56" s="2455"/>
      <c r="AJ56" s="2456"/>
      <c r="AK56" s="540"/>
      <c r="AL56" s="540"/>
      <c r="AM56" s="540"/>
      <c r="AN56" s="535"/>
      <c r="AO56" s="549">
        <f>IF($B59="yes",7,0)</f>
        <v>0</v>
      </c>
    </row>
    <row r="57" spans="1:42" s="536" customFormat="1" ht="12.75" customHeight="1">
      <c r="A57" s="540"/>
      <c r="B57" s="540"/>
      <c r="C57" s="540"/>
      <c r="D57" s="549"/>
      <c r="E57" s="2610"/>
      <c r="F57" s="2611"/>
      <c r="G57" s="2611"/>
      <c r="H57" s="2611"/>
      <c r="I57" s="2611"/>
      <c r="J57" s="2611"/>
      <c r="K57" s="2611"/>
      <c r="L57" s="2611"/>
      <c r="M57" s="2611"/>
      <c r="N57" s="2611"/>
      <c r="O57" s="2611"/>
      <c r="P57" s="2611"/>
      <c r="Q57" s="2611"/>
      <c r="R57" s="2611"/>
      <c r="S57" s="2611"/>
      <c r="T57" s="2611"/>
      <c r="U57" s="2611"/>
      <c r="V57" s="2611"/>
      <c r="W57" s="2611"/>
      <c r="X57" s="2611"/>
      <c r="Y57" s="2611"/>
      <c r="Z57" s="2611"/>
      <c r="AA57" s="2611"/>
      <c r="AB57" s="2611"/>
      <c r="AC57" s="2611"/>
      <c r="AD57" s="2611"/>
      <c r="AE57" s="2611"/>
      <c r="AF57" s="2611"/>
      <c r="AG57" s="2611"/>
      <c r="AH57" s="2611"/>
      <c r="AI57" s="2611"/>
      <c r="AJ57" s="2612"/>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3" t="s">
        <v>591</v>
      </c>
      <c r="C59" s="2593"/>
      <c r="D59" s="546"/>
      <c r="E59" s="2619" t="s">
        <v>2566</v>
      </c>
      <c r="F59" s="2620"/>
      <c r="G59" s="2620"/>
      <c r="H59" s="2620"/>
      <c r="I59" s="2620"/>
      <c r="J59" s="2620"/>
      <c r="K59" s="2620"/>
      <c r="L59" s="2620"/>
      <c r="M59" s="2620"/>
      <c r="N59" s="2620"/>
      <c r="O59" s="2620"/>
      <c r="P59" s="2620"/>
      <c r="Q59" s="2620"/>
      <c r="R59" s="2620"/>
      <c r="S59" s="2620"/>
      <c r="T59" s="2620"/>
      <c r="U59" s="2620"/>
      <c r="V59" s="2620"/>
      <c r="W59" s="2620"/>
      <c r="X59" s="2620"/>
      <c r="Y59" s="2620"/>
      <c r="Z59" s="2620"/>
      <c r="AA59" s="2620"/>
      <c r="AB59" s="2620"/>
      <c r="AC59" s="2620"/>
      <c r="AD59" s="2620"/>
      <c r="AE59" s="2620"/>
      <c r="AF59" s="2620"/>
      <c r="AG59" s="2620"/>
      <c r="AH59" s="2620"/>
      <c r="AI59" s="2620"/>
      <c r="AJ59" s="2621"/>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2567</v>
      </c>
      <c r="AK61" s="2585">
        <f>AO60</f>
        <v>0</v>
      </c>
      <c r="AL61" s="2586"/>
      <c r="AM61" s="2587"/>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1" t="s">
        <v>1307</v>
      </c>
      <c r="AF64" s="2451"/>
      <c r="AG64" s="2451"/>
      <c r="AH64" s="2451"/>
      <c r="AI64" s="2451"/>
      <c r="AJ64" s="2451"/>
      <c r="AK64" s="2451"/>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3" t="s">
        <v>591</v>
      </c>
      <c r="C67" s="2593"/>
      <c r="D67" s="546" t="s">
        <v>1308</v>
      </c>
      <c r="E67" s="2594" t="s">
        <v>1980</v>
      </c>
      <c r="F67" s="2595"/>
      <c r="G67" s="2595"/>
      <c r="H67" s="2595"/>
      <c r="I67" s="2595"/>
      <c r="J67" s="2595"/>
      <c r="K67" s="2595"/>
      <c r="L67" s="2595"/>
      <c r="M67" s="2595"/>
      <c r="N67" s="2595"/>
      <c r="O67" s="2595"/>
      <c r="P67" s="2595"/>
      <c r="Q67" s="2595"/>
      <c r="R67" s="2595"/>
      <c r="S67" s="2595"/>
      <c r="T67" s="2595"/>
      <c r="U67" s="2595"/>
      <c r="V67" s="2595"/>
      <c r="W67" s="2595"/>
      <c r="X67" s="2595"/>
      <c r="Y67" s="2595"/>
      <c r="Z67" s="2595"/>
      <c r="AA67" s="2595"/>
      <c r="AB67" s="2595"/>
      <c r="AC67" s="2595"/>
      <c r="AD67" s="2595"/>
      <c r="AE67" s="2595"/>
      <c r="AF67" s="2595"/>
      <c r="AG67" s="2595"/>
      <c r="AH67" s="2595"/>
      <c r="AI67" s="2595"/>
      <c r="AJ67" s="2596"/>
      <c r="AK67" s="543"/>
      <c r="AL67" s="540"/>
      <c r="AM67" s="540"/>
      <c r="AN67" s="535"/>
      <c r="AO67" s="549">
        <f>IF($B67="yes",10,0)</f>
        <v>0</v>
      </c>
    </row>
    <row r="68" spans="1:42" s="536" customFormat="1" ht="12.75" customHeight="1">
      <c r="A68" s="538"/>
      <c r="B68" s="540"/>
      <c r="C68" s="540"/>
      <c r="D68" s="550"/>
      <c r="E68" s="2597"/>
      <c r="F68" s="2598"/>
      <c r="G68" s="2598"/>
      <c r="H68" s="2598"/>
      <c r="I68" s="2598"/>
      <c r="J68" s="2598"/>
      <c r="K68" s="2598"/>
      <c r="L68" s="2598"/>
      <c r="M68" s="2598"/>
      <c r="N68" s="2598"/>
      <c r="O68" s="2598"/>
      <c r="P68" s="2598"/>
      <c r="Q68" s="2598"/>
      <c r="R68" s="2598"/>
      <c r="S68" s="2598"/>
      <c r="T68" s="2598"/>
      <c r="U68" s="2598"/>
      <c r="V68" s="2598"/>
      <c r="W68" s="2598"/>
      <c r="X68" s="2598"/>
      <c r="Y68" s="2598"/>
      <c r="Z68" s="2598"/>
      <c r="AA68" s="2598"/>
      <c r="AB68" s="2598"/>
      <c r="AC68" s="2598"/>
      <c r="AD68" s="2598"/>
      <c r="AE68" s="2598"/>
      <c r="AF68" s="2598"/>
      <c r="AG68" s="2598"/>
      <c r="AH68" s="2598"/>
      <c r="AI68" s="2598"/>
      <c r="AJ68" s="2599"/>
      <c r="AK68" s="543"/>
      <c r="AL68" s="540"/>
      <c r="AM68" s="540"/>
      <c r="AN68" s="535"/>
      <c r="AO68" s="549">
        <f>IF(AND($B73="yes",OR(E74="Yes",E75="Yes",E76="Yes")),10,0)</f>
        <v>0</v>
      </c>
    </row>
    <row r="69" spans="1:42" s="536" customFormat="1" ht="12.75" customHeight="1">
      <c r="A69" s="538"/>
      <c r="B69" s="540"/>
      <c r="C69" s="540"/>
      <c r="D69" s="550"/>
      <c r="E69" s="2597"/>
      <c r="F69" s="2598"/>
      <c r="G69" s="2598"/>
      <c r="H69" s="2598"/>
      <c r="I69" s="2598"/>
      <c r="J69" s="2598"/>
      <c r="K69" s="2598"/>
      <c r="L69" s="2598"/>
      <c r="M69" s="2598"/>
      <c r="N69" s="2598"/>
      <c r="O69" s="2598"/>
      <c r="P69" s="2598"/>
      <c r="Q69" s="2598"/>
      <c r="R69" s="2598"/>
      <c r="S69" s="2598"/>
      <c r="T69" s="2598"/>
      <c r="U69" s="2598"/>
      <c r="V69" s="2598"/>
      <c r="W69" s="2598"/>
      <c r="X69" s="2598"/>
      <c r="Y69" s="2598"/>
      <c r="Z69" s="2598"/>
      <c r="AA69" s="2598"/>
      <c r="AB69" s="2598"/>
      <c r="AC69" s="2598"/>
      <c r="AD69" s="2598"/>
      <c r="AE69" s="2598"/>
      <c r="AF69" s="2598"/>
      <c r="AG69" s="2598"/>
      <c r="AH69" s="2598"/>
      <c r="AI69" s="2598"/>
      <c r="AJ69" s="2599"/>
      <c r="AK69" s="543"/>
      <c r="AL69" s="540"/>
      <c r="AM69" s="540"/>
      <c r="AN69" s="535"/>
      <c r="AO69" s="549">
        <f>IF($B78="yes",10,0)</f>
        <v>10</v>
      </c>
    </row>
    <row r="70" spans="1:42" s="536" customFormat="1" ht="12.75" customHeight="1">
      <c r="A70" s="538"/>
      <c r="B70" s="540"/>
      <c r="C70" s="540"/>
      <c r="D70" s="550"/>
      <c r="E70" s="2597"/>
      <c r="F70" s="2598"/>
      <c r="G70" s="2598"/>
      <c r="H70" s="2598"/>
      <c r="I70" s="2598"/>
      <c r="J70" s="2598"/>
      <c r="K70" s="2598"/>
      <c r="L70" s="2598"/>
      <c r="M70" s="2598"/>
      <c r="N70" s="2598"/>
      <c r="O70" s="2598"/>
      <c r="P70" s="2598"/>
      <c r="Q70" s="2598"/>
      <c r="R70" s="2598"/>
      <c r="S70" s="2598"/>
      <c r="T70" s="2598"/>
      <c r="U70" s="2598"/>
      <c r="V70" s="2598"/>
      <c r="W70" s="2598"/>
      <c r="X70" s="2598"/>
      <c r="Y70" s="2598"/>
      <c r="Z70" s="2598"/>
      <c r="AA70" s="2598"/>
      <c r="AB70" s="2598"/>
      <c r="AC70" s="2598"/>
      <c r="AD70" s="2598"/>
      <c r="AE70" s="2598"/>
      <c r="AF70" s="2598"/>
      <c r="AG70" s="2598"/>
      <c r="AH70" s="2598"/>
      <c r="AI70" s="2598"/>
      <c r="AJ70" s="2599"/>
      <c r="AK70" s="543"/>
      <c r="AL70" s="540"/>
      <c r="AM70" s="540"/>
      <c r="AN70" s="535"/>
      <c r="AO70" s="549">
        <f>IF($B81="yes",10,0)</f>
        <v>0</v>
      </c>
    </row>
    <row r="71" spans="1:42" s="536" customFormat="1" ht="12.75" customHeight="1">
      <c r="A71" s="538"/>
      <c r="B71" s="540"/>
      <c r="C71" s="540"/>
      <c r="D71" s="550"/>
      <c r="E71" s="2635"/>
      <c r="F71" s="2636"/>
      <c r="G71" s="2636"/>
      <c r="H71" s="2636"/>
      <c r="I71" s="2636"/>
      <c r="J71" s="2636"/>
      <c r="K71" s="2636"/>
      <c r="L71" s="2636"/>
      <c r="M71" s="2636"/>
      <c r="N71" s="2636"/>
      <c r="O71" s="2636"/>
      <c r="P71" s="2636"/>
      <c r="Q71" s="2636"/>
      <c r="R71" s="2636"/>
      <c r="S71" s="2636"/>
      <c r="T71" s="2636"/>
      <c r="U71" s="2636"/>
      <c r="V71" s="2636"/>
      <c r="W71" s="2636"/>
      <c r="X71" s="2636"/>
      <c r="Y71" s="2636"/>
      <c r="Z71" s="2636"/>
      <c r="AA71" s="2636"/>
      <c r="AB71" s="2636"/>
      <c r="AC71" s="2636"/>
      <c r="AD71" s="2636"/>
      <c r="AE71" s="2636"/>
      <c r="AF71" s="2636"/>
      <c r="AG71" s="2636"/>
      <c r="AH71" s="2636"/>
      <c r="AI71" s="2636"/>
      <c r="AJ71" s="2637"/>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3" t="s">
        <v>591</v>
      </c>
      <c r="C73" s="2593"/>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1" t="s">
        <v>591</v>
      </c>
      <c r="F74" s="2593"/>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9" t="s">
        <v>591</v>
      </c>
      <c r="F75" s="2640"/>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9" t="s">
        <v>591</v>
      </c>
      <c r="F76" s="2640"/>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3" t="s">
        <v>545</v>
      </c>
      <c r="C78" s="2593"/>
      <c r="D78" s="546" t="s">
        <v>1313</v>
      </c>
      <c r="E78" s="2454" t="s">
        <v>1728</v>
      </c>
      <c r="F78" s="2455"/>
      <c r="G78" s="2455"/>
      <c r="H78" s="2455"/>
      <c r="I78" s="2455"/>
      <c r="J78" s="2455"/>
      <c r="K78" s="2455"/>
      <c r="L78" s="2455"/>
      <c r="M78" s="2455"/>
      <c r="N78" s="2455"/>
      <c r="O78" s="2455"/>
      <c r="P78" s="2455"/>
      <c r="Q78" s="2455"/>
      <c r="R78" s="2455"/>
      <c r="S78" s="2455"/>
      <c r="T78" s="2455"/>
      <c r="U78" s="2455"/>
      <c r="V78" s="2455"/>
      <c r="W78" s="2455"/>
      <c r="X78" s="2455"/>
      <c r="Y78" s="2455"/>
      <c r="Z78" s="2455"/>
      <c r="AA78" s="2455"/>
      <c r="AB78" s="2455"/>
      <c r="AC78" s="2455"/>
      <c r="AD78" s="2455"/>
      <c r="AE78" s="2455"/>
      <c r="AF78" s="2455"/>
      <c r="AG78" s="2455"/>
      <c r="AH78" s="2455"/>
      <c r="AI78" s="2455"/>
      <c r="AJ78" s="2456"/>
      <c r="AK78" s="543"/>
      <c r="AL78" s="540"/>
      <c r="AM78" s="540"/>
      <c r="AN78" s="535"/>
    </row>
    <row r="79" spans="1:42" s="536" customFormat="1" ht="12.75" customHeight="1">
      <c r="A79" s="538"/>
      <c r="B79" s="540"/>
      <c r="C79" s="540"/>
      <c r="E79" s="2610"/>
      <c r="F79" s="2611"/>
      <c r="G79" s="2611"/>
      <c r="H79" s="2611"/>
      <c r="I79" s="2611"/>
      <c r="J79" s="2611"/>
      <c r="K79" s="2611"/>
      <c r="L79" s="2611"/>
      <c r="M79" s="2611"/>
      <c r="N79" s="2611"/>
      <c r="O79" s="2611"/>
      <c r="P79" s="2611"/>
      <c r="Q79" s="2611"/>
      <c r="R79" s="2611"/>
      <c r="S79" s="2611"/>
      <c r="T79" s="2611"/>
      <c r="U79" s="2611"/>
      <c r="V79" s="2611"/>
      <c r="W79" s="2611"/>
      <c r="X79" s="2611"/>
      <c r="Y79" s="2611"/>
      <c r="Z79" s="2611"/>
      <c r="AA79" s="2611"/>
      <c r="AB79" s="2611"/>
      <c r="AC79" s="2611"/>
      <c r="AD79" s="2611"/>
      <c r="AE79" s="2611"/>
      <c r="AF79" s="2611"/>
      <c r="AG79" s="2611"/>
      <c r="AH79" s="2611"/>
      <c r="AI79" s="2611"/>
      <c r="AJ79" s="26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3" t="s">
        <v>591</v>
      </c>
      <c r="C81" s="2593"/>
      <c r="D81" s="546" t="s">
        <v>1460</v>
      </c>
      <c r="E81" s="2619" t="s">
        <v>1726</v>
      </c>
      <c r="F81" s="2620"/>
      <c r="G81" s="2620"/>
      <c r="H81" s="2620"/>
      <c r="I81" s="2620"/>
      <c r="J81" s="2620"/>
      <c r="K81" s="2620"/>
      <c r="L81" s="2620"/>
      <c r="M81" s="2620"/>
      <c r="N81" s="2620"/>
      <c r="O81" s="2620"/>
      <c r="P81" s="2620"/>
      <c r="Q81" s="2620"/>
      <c r="R81" s="2620"/>
      <c r="S81" s="2620"/>
      <c r="T81" s="2620"/>
      <c r="U81" s="2620"/>
      <c r="V81" s="2620"/>
      <c r="W81" s="2620"/>
      <c r="X81" s="2620"/>
      <c r="Y81" s="2620"/>
      <c r="Z81" s="2620"/>
      <c r="AA81" s="2620"/>
      <c r="AB81" s="2620"/>
      <c r="AC81" s="2620"/>
      <c r="AD81" s="2620"/>
      <c r="AE81" s="2620"/>
      <c r="AF81" s="2620"/>
      <c r="AG81" s="2620"/>
      <c r="AH81" s="2620"/>
      <c r="AI81" s="2620"/>
      <c r="AJ81" s="2621"/>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5">
        <f>IF(AK61&gt;0,0,AO71)</f>
        <v>10</v>
      </c>
      <c r="AL83" s="2586"/>
      <c r="AM83" s="2587"/>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1" t="s">
        <v>1302</v>
      </c>
      <c r="AF86" s="2451"/>
      <c r="AG86" s="2451"/>
      <c r="AH86" s="2451"/>
      <c r="AI86" s="2451"/>
      <c r="AJ86" s="2451"/>
      <c r="AK86" s="2451"/>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3" t="s">
        <v>591</v>
      </c>
      <c r="C89" s="2593"/>
      <c r="D89" s="546" t="s">
        <v>1308</v>
      </c>
      <c r="E89" s="2594" t="s">
        <v>1318</v>
      </c>
      <c r="F89" s="2595"/>
      <c r="G89" s="2595"/>
      <c r="H89" s="2595"/>
      <c r="I89" s="2595"/>
      <c r="J89" s="2595"/>
      <c r="K89" s="2595"/>
      <c r="L89" s="2595"/>
      <c r="M89" s="2595"/>
      <c r="N89" s="2595"/>
      <c r="O89" s="2595"/>
      <c r="P89" s="2595"/>
      <c r="Q89" s="2595"/>
      <c r="R89" s="2595"/>
      <c r="S89" s="2595"/>
      <c r="T89" s="2595"/>
      <c r="U89" s="2595"/>
      <c r="V89" s="2595"/>
      <c r="W89" s="2595"/>
      <c r="X89" s="2595"/>
      <c r="Y89" s="2595"/>
      <c r="Z89" s="2595"/>
      <c r="AA89" s="2595"/>
      <c r="AB89" s="2595"/>
      <c r="AC89" s="2595"/>
      <c r="AD89" s="2595"/>
      <c r="AE89" s="2595"/>
      <c r="AF89" s="2595"/>
      <c r="AG89" s="2595"/>
      <c r="AH89" s="2595"/>
      <c r="AI89" s="2595"/>
      <c r="AJ89" s="2596"/>
      <c r="AK89" s="543"/>
      <c r="AL89" s="540"/>
      <c r="AM89" s="540"/>
      <c r="AN89" s="535"/>
    </row>
    <row r="90" spans="1:43" s="536" customFormat="1" ht="12.75" customHeight="1">
      <c r="A90" s="538"/>
      <c r="B90" s="539"/>
      <c r="C90" s="539"/>
      <c r="D90" s="539"/>
      <c r="E90" s="2597"/>
      <c r="F90" s="2598"/>
      <c r="G90" s="2598"/>
      <c r="H90" s="2598"/>
      <c r="I90" s="2598"/>
      <c r="J90" s="2598"/>
      <c r="K90" s="2598"/>
      <c r="L90" s="2598"/>
      <c r="M90" s="2598"/>
      <c r="N90" s="2598"/>
      <c r="O90" s="2598"/>
      <c r="P90" s="2598"/>
      <c r="Q90" s="2598"/>
      <c r="R90" s="2598"/>
      <c r="S90" s="2598"/>
      <c r="T90" s="2598"/>
      <c r="U90" s="2598"/>
      <c r="V90" s="2598"/>
      <c r="W90" s="2598"/>
      <c r="X90" s="2598"/>
      <c r="Y90" s="2598"/>
      <c r="Z90" s="2598"/>
      <c r="AA90" s="2598"/>
      <c r="AB90" s="2598"/>
      <c r="AC90" s="2598"/>
      <c r="AD90" s="2598"/>
      <c r="AE90" s="2598"/>
      <c r="AF90" s="2598"/>
      <c r="AG90" s="2598"/>
      <c r="AH90" s="2598"/>
      <c r="AI90" s="2598"/>
      <c r="AJ90" s="2599"/>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6">
        <f>Application!AC761</f>
        <v>0.59657534246575339</v>
      </c>
      <c r="F92" s="2607"/>
      <c r="G92" s="2607"/>
      <c r="H92" s="2607"/>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8">
        <f>0.6-ROUNDUP(E92,2)</f>
        <v>0</v>
      </c>
      <c r="F93" s="2425"/>
      <c r="G93" s="2425"/>
      <c r="H93" s="2425"/>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7">
        <f>IF(E93*200&gt;20,20,E93*200)</f>
        <v>0</v>
      </c>
      <c r="F94" s="2618"/>
      <c r="G94" s="2618"/>
      <c r="H94" s="2618"/>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3" t="s">
        <v>545</v>
      </c>
      <c r="C97" s="2593"/>
      <c r="D97" s="546" t="s">
        <v>1310</v>
      </c>
      <c r="E97" s="2594" t="s">
        <v>1713</v>
      </c>
      <c r="F97" s="2595"/>
      <c r="G97" s="2595"/>
      <c r="H97" s="2595"/>
      <c r="I97" s="2595"/>
      <c r="J97" s="2595"/>
      <c r="K97" s="2595"/>
      <c r="L97" s="2595"/>
      <c r="M97" s="2595"/>
      <c r="N97" s="2595"/>
      <c r="O97" s="2595"/>
      <c r="P97" s="2595"/>
      <c r="Q97" s="2595"/>
      <c r="R97" s="2595"/>
      <c r="S97" s="2595"/>
      <c r="T97" s="2595"/>
      <c r="U97" s="2595"/>
      <c r="V97" s="2595"/>
      <c r="W97" s="2595"/>
      <c r="X97" s="2595"/>
      <c r="Y97" s="2595"/>
      <c r="Z97" s="2595"/>
      <c r="AA97" s="2595"/>
      <c r="AB97" s="2595"/>
      <c r="AC97" s="2595"/>
      <c r="AD97" s="2595"/>
      <c r="AE97" s="2595"/>
      <c r="AF97" s="2595"/>
      <c r="AG97" s="2595"/>
      <c r="AH97" s="2595"/>
      <c r="AI97" s="2595"/>
      <c r="AJ97" s="2596"/>
      <c r="AK97" s="543"/>
      <c r="AL97" s="540"/>
      <c r="AM97" s="540"/>
      <c r="AN97" s="535"/>
    </row>
    <row r="98" spans="1:47" s="536" customFormat="1" ht="12.75" customHeight="1">
      <c r="A98" s="538"/>
      <c r="B98" s="539"/>
      <c r="C98" s="539"/>
      <c r="D98" s="539"/>
      <c r="E98" s="2597"/>
      <c r="F98" s="2598"/>
      <c r="G98" s="2598"/>
      <c r="H98" s="2598"/>
      <c r="I98" s="2598"/>
      <c r="J98" s="2598"/>
      <c r="K98" s="2598"/>
      <c r="L98" s="2598"/>
      <c r="M98" s="2598"/>
      <c r="N98" s="2598"/>
      <c r="O98" s="2598"/>
      <c r="P98" s="2598"/>
      <c r="Q98" s="2598"/>
      <c r="R98" s="2598"/>
      <c r="S98" s="2598"/>
      <c r="T98" s="2598"/>
      <c r="U98" s="2598"/>
      <c r="V98" s="2598"/>
      <c r="W98" s="2598"/>
      <c r="X98" s="2598"/>
      <c r="Y98" s="2598"/>
      <c r="Z98" s="2598"/>
      <c r="AA98" s="2598"/>
      <c r="AB98" s="2598"/>
      <c r="AC98" s="2598"/>
      <c r="AD98" s="2598"/>
      <c r="AE98" s="2598"/>
      <c r="AF98" s="2598"/>
      <c r="AG98" s="2598"/>
      <c r="AH98" s="2598"/>
      <c r="AI98" s="2598"/>
      <c r="AJ98" s="2599"/>
      <c r="AK98" s="543"/>
      <c r="AL98" s="540"/>
      <c r="AM98" s="540"/>
      <c r="AN98" s="535"/>
    </row>
    <row r="99" spans="1:47" s="536" customFormat="1" ht="12.75" customHeight="1">
      <c r="A99" s="538"/>
      <c r="B99" s="539"/>
      <c r="C99" s="539"/>
      <c r="D99" s="539"/>
      <c r="E99" s="2597"/>
      <c r="F99" s="2598"/>
      <c r="G99" s="2598"/>
      <c r="H99" s="2598"/>
      <c r="I99" s="2598"/>
      <c r="J99" s="2598"/>
      <c r="K99" s="2598"/>
      <c r="L99" s="2598"/>
      <c r="M99" s="2598"/>
      <c r="N99" s="2598"/>
      <c r="O99" s="2598"/>
      <c r="P99" s="2598"/>
      <c r="Q99" s="2598"/>
      <c r="R99" s="2598"/>
      <c r="S99" s="2598"/>
      <c r="T99" s="2598"/>
      <c r="U99" s="2598"/>
      <c r="V99" s="2598"/>
      <c r="W99" s="2598"/>
      <c r="X99" s="2598"/>
      <c r="Y99" s="2598"/>
      <c r="Z99" s="2598"/>
      <c r="AA99" s="2598"/>
      <c r="AB99" s="2598"/>
      <c r="AC99" s="2598"/>
      <c r="AD99" s="2598"/>
      <c r="AE99" s="2598"/>
      <c r="AF99" s="2598"/>
      <c r="AG99" s="2598"/>
      <c r="AH99" s="2598"/>
      <c r="AI99" s="2598"/>
      <c r="AJ99" s="2599"/>
      <c r="AK99" s="543"/>
      <c r="AL99" s="540"/>
      <c r="AM99" s="540"/>
      <c r="AN99" s="535"/>
    </row>
    <row r="100" spans="1:47" s="536" customFormat="1" ht="12.75" customHeight="1">
      <c r="A100" s="538"/>
      <c r="B100" s="539"/>
      <c r="C100" s="539"/>
      <c r="D100" s="539"/>
      <c r="E100" s="2597"/>
      <c r="F100" s="2598"/>
      <c r="G100" s="2598"/>
      <c r="H100" s="2598"/>
      <c r="I100" s="2598"/>
      <c r="J100" s="2598"/>
      <c r="K100" s="2598"/>
      <c r="L100" s="2598"/>
      <c r="M100" s="2598"/>
      <c r="N100" s="2598"/>
      <c r="O100" s="2598"/>
      <c r="P100" s="2598"/>
      <c r="Q100" s="2598"/>
      <c r="R100" s="2598"/>
      <c r="S100" s="2598"/>
      <c r="T100" s="2598"/>
      <c r="U100" s="2598"/>
      <c r="V100" s="2598"/>
      <c r="W100" s="2598"/>
      <c r="X100" s="2598"/>
      <c r="Y100" s="2598"/>
      <c r="Z100" s="2598"/>
      <c r="AA100" s="2598"/>
      <c r="AB100" s="2598"/>
      <c r="AC100" s="2598"/>
      <c r="AD100" s="2598"/>
      <c r="AE100" s="2598"/>
      <c r="AF100" s="2598"/>
      <c r="AG100" s="2598"/>
      <c r="AH100" s="2598"/>
      <c r="AI100" s="2598"/>
      <c r="AJ100" s="2599"/>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6">
        <f>Application!AC761</f>
        <v>0.59657534246575339</v>
      </c>
      <c r="F102" s="2607"/>
      <c r="G102" s="2607"/>
      <c r="H102" s="2607"/>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6">
        <f ca="1">SUMIF(Application!AC726:AG760,0.2,Application!G726:J760)/Application!G761+SUMIF(Application!AC726:AG760,0.25,Application!G726:J760)/Application!G761+SUMIF(Application!AC726:AG760,0.3,Application!G726:J760)/Application!G761</f>
        <v>0.23972602739726026</v>
      </c>
      <c r="F103" s="2607"/>
      <c r="G103" s="2607"/>
      <c r="H103" s="2607"/>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6">
        <f ca="1">SUMIF(Application!AC726:AG760,0.35,Application!G726:J760)/Application!G761+SUMIF(Application!AC726:AG760,0.4,Application!G726:J760)/Application!G761+SUMIF(Application!AC726:AG760,0.45,Application!G726:J760)/Application!G761+SUMIF(Application!AC726:AG760,0.5,Application!G726:J760)/Application!G761</f>
        <v>0</v>
      </c>
      <c r="F104" s="2607"/>
      <c r="G104" s="2607"/>
      <c r="H104" s="2607"/>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4">
        <f ca="1">IF(AND(E102&lt;=0.6,OR(AND(E103&gt;=0.1,E104&gt;=0.1),AND(E103&gt;0.1,(E103+E104)&gt;=0.2))),20,0)</f>
        <v>20</v>
      </c>
      <c r="F105" s="2605"/>
      <c r="G105" s="2605"/>
      <c r="H105" s="2605"/>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5">
        <f ca="1">MAX(AP94,AP105)</f>
        <v>20</v>
      </c>
      <c r="AL108" s="2586"/>
      <c r="AM108" s="2587"/>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1" t="s">
        <v>1307</v>
      </c>
      <c r="AF111" s="2451"/>
      <c r="AG111" s="2451"/>
      <c r="AH111" s="2451"/>
      <c r="AI111" s="2451"/>
      <c r="AJ111" s="2451"/>
      <c r="AK111" s="2451"/>
      <c r="AL111" s="540"/>
      <c r="AM111" s="540"/>
      <c r="AN111" s="535"/>
      <c r="AO111" s="536" t="str">
        <f>Application!B726</f>
        <v>1 Bedroom</v>
      </c>
      <c r="AQ111" s="536">
        <f>Application!O726</f>
        <v>804</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1656</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1940</v>
      </c>
    </row>
    <row r="114" spans="1:52" s="536" customFormat="1" ht="12.75" customHeight="1">
      <c r="A114" s="540"/>
      <c r="B114" s="2593" t="s">
        <v>545</v>
      </c>
      <c r="C114" s="2593"/>
      <c r="D114" s="546" t="s">
        <v>1308</v>
      </c>
      <c r="E114" s="2594" t="s">
        <v>2568</v>
      </c>
      <c r="F114" s="2595"/>
      <c r="G114" s="2595"/>
      <c r="H114" s="2595"/>
      <c r="I114" s="2595"/>
      <c r="J114" s="2595"/>
      <c r="K114" s="2595"/>
      <c r="L114" s="2595"/>
      <c r="M114" s="2595"/>
      <c r="N114" s="2595"/>
      <c r="O114" s="2595"/>
      <c r="P114" s="2595"/>
      <c r="Q114" s="2595"/>
      <c r="R114" s="2595"/>
      <c r="S114" s="2595"/>
      <c r="T114" s="2595"/>
      <c r="U114" s="2595"/>
      <c r="V114" s="2595"/>
      <c r="W114" s="2595"/>
      <c r="X114" s="2595"/>
      <c r="Y114" s="2595"/>
      <c r="Z114" s="2595"/>
      <c r="AA114" s="2595"/>
      <c r="AB114" s="2595"/>
      <c r="AC114" s="2595"/>
      <c r="AD114" s="2595"/>
      <c r="AE114" s="2595"/>
      <c r="AF114" s="2595"/>
      <c r="AG114" s="2595"/>
      <c r="AH114" s="2595"/>
      <c r="AI114" s="2595"/>
      <c r="AJ114" s="2596"/>
      <c r="AK114" s="540"/>
      <c r="AL114" s="540"/>
      <c r="AM114" s="540"/>
      <c r="AN114" s="535"/>
      <c r="AO114" s="536" t="str">
        <f>Application!B729</f>
        <v>2 Bedrooms</v>
      </c>
      <c r="AQ114" s="536">
        <f>Application!O729</f>
        <v>959.8</v>
      </c>
      <c r="AU114" s="536" t="s">
        <v>1816</v>
      </c>
      <c r="AV114" s="593" t="s">
        <v>1817</v>
      </c>
      <c r="AW114" s="536" t="s">
        <v>1818</v>
      </c>
    </row>
    <row r="115" spans="1:52" s="536" customFormat="1" ht="12.75" customHeight="1">
      <c r="A115" s="540"/>
      <c r="B115" s="539"/>
      <c r="C115" s="539"/>
      <c r="D115" s="539"/>
      <c r="E115" s="2597"/>
      <c r="F115" s="2598"/>
      <c r="G115" s="2598"/>
      <c r="H115" s="2598"/>
      <c r="I115" s="2598"/>
      <c r="J115" s="2598"/>
      <c r="K115" s="2598"/>
      <c r="L115" s="2598"/>
      <c r="M115" s="2598"/>
      <c r="N115" s="2598"/>
      <c r="O115" s="2598"/>
      <c r="P115" s="2598"/>
      <c r="Q115" s="2598"/>
      <c r="R115" s="2598"/>
      <c r="S115" s="2598"/>
      <c r="T115" s="2598"/>
      <c r="U115" s="2598"/>
      <c r="V115" s="2598"/>
      <c r="W115" s="2598"/>
      <c r="X115" s="2598"/>
      <c r="Y115" s="2598"/>
      <c r="Z115" s="2598"/>
      <c r="AA115" s="2598"/>
      <c r="AB115" s="2598"/>
      <c r="AC115" s="2598"/>
      <c r="AD115" s="2598"/>
      <c r="AE115" s="2598"/>
      <c r="AF115" s="2598"/>
      <c r="AG115" s="2598"/>
      <c r="AH115" s="2598"/>
      <c r="AI115" s="2598"/>
      <c r="AJ115" s="2599"/>
      <c r="AK115" s="540"/>
      <c r="AL115" s="540"/>
      <c r="AM115" s="540"/>
      <c r="AN115" s="535"/>
      <c r="AO115" s="536" t="str">
        <f>Application!B730</f>
        <v>2 Bedrooms</v>
      </c>
      <c r="AQ115" s="536">
        <f>Application!O730</f>
        <v>2322.5</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7"/>
      <c r="F116" s="2598"/>
      <c r="G116" s="2598"/>
      <c r="H116" s="2598"/>
      <c r="I116" s="2598"/>
      <c r="J116" s="2598"/>
      <c r="K116" s="2598"/>
      <c r="L116" s="2598"/>
      <c r="M116" s="2598"/>
      <c r="N116" s="2598"/>
      <c r="O116" s="2598"/>
      <c r="P116" s="2598"/>
      <c r="Q116" s="2598"/>
      <c r="R116" s="2598"/>
      <c r="S116" s="2598"/>
      <c r="T116" s="2598"/>
      <c r="U116" s="2598"/>
      <c r="V116" s="2598"/>
      <c r="W116" s="2598"/>
      <c r="X116" s="2598"/>
      <c r="Y116" s="2598"/>
      <c r="Z116" s="2598"/>
      <c r="AA116" s="2598"/>
      <c r="AB116" s="2598"/>
      <c r="AC116" s="2598"/>
      <c r="AD116" s="2598"/>
      <c r="AE116" s="2598"/>
      <c r="AF116" s="2598"/>
      <c r="AG116" s="2598"/>
      <c r="AH116" s="2598"/>
      <c r="AI116" s="2598"/>
      <c r="AJ116" s="2599"/>
      <c r="AK116" s="540"/>
      <c r="AL116" s="540"/>
      <c r="AM116" s="540"/>
      <c r="AN116" s="535"/>
      <c r="AO116" s="536" t="str">
        <f>Application!B731</f>
        <v>3 Bedrooms</v>
      </c>
      <c r="AQ116" s="536">
        <f>Application!O731</f>
        <v>1105.4000000000001</v>
      </c>
      <c r="AU116" s="852" t="str">
        <f>J123</f>
        <v>1-bedroom</v>
      </c>
      <c r="AV116" s="536">
        <f t="array" ref="AV116">SUM(IF(Application!B726:F760="1 Bedroom",Application!G726:J760))</f>
        <v>72</v>
      </c>
      <c r="AW116" s="1006">
        <f>AV116/AV121</f>
        <v>0.49315068493150682</v>
      </c>
    </row>
    <row r="117" spans="1:52" s="536" customFormat="1" ht="12.75" customHeight="1">
      <c r="A117" s="540"/>
      <c r="B117" s="539"/>
      <c r="C117" s="539"/>
      <c r="D117" s="539"/>
      <c r="E117" s="2597"/>
      <c r="F117" s="2598"/>
      <c r="G117" s="2598"/>
      <c r="H117" s="2598"/>
      <c r="I117" s="2598"/>
      <c r="J117" s="2598"/>
      <c r="K117" s="2598"/>
      <c r="L117" s="2598"/>
      <c r="M117" s="2598"/>
      <c r="N117" s="2598"/>
      <c r="O117" s="2598"/>
      <c r="P117" s="2598"/>
      <c r="Q117" s="2598"/>
      <c r="R117" s="2598"/>
      <c r="S117" s="2598"/>
      <c r="T117" s="2598"/>
      <c r="U117" s="2598"/>
      <c r="V117" s="2598"/>
      <c r="W117" s="2598"/>
      <c r="X117" s="2598"/>
      <c r="Y117" s="2598"/>
      <c r="Z117" s="2598"/>
      <c r="AA117" s="2598"/>
      <c r="AB117" s="2598"/>
      <c r="AC117" s="2598"/>
      <c r="AD117" s="2598"/>
      <c r="AE117" s="2598"/>
      <c r="AF117" s="2598"/>
      <c r="AG117" s="2598"/>
      <c r="AH117" s="2598"/>
      <c r="AI117" s="2598"/>
      <c r="AJ117" s="2599"/>
      <c r="AK117" s="540"/>
      <c r="AL117" s="540"/>
      <c r="AM117" s="540"/>
      <c r="AN117" s="535"/>
      <c r="AO117" s="536" t="str">
        <f>Application!B732</f>
        <v>3 Bedrooms</v>
      </c>
      <c r="AQ117" s="536">
        <f>Application!O732</f>
        <v>2286.8000000000002</v>
      </c>
      <c r="AU117" s="852" t="str">
        <f>O123</f>
        <v>2-bedroom</v>
      </c>
      <c r="AV117" s="536">
        <f t="array" ref="AV117">SUM(IF(Application!B726:F760="2 Bedrooms",Application!G726:J760))</f>
        <v>51</v>
      </c>
      <c r="AW117" s="1006">
        <f>AV117/AV121</f>
        <v>0.34931506849315069</v>
      </c>
    </row>
    <row r="118" spans="1:52" s="536" customFormat="1" ht="12.75" customHeight="1">
      <c r="A118" s="540"/>
      <c r="B118" s="539"/>
      <c r="C118" s="539"/>
      <c r="D118" s="539"/>
      <c r="E118" s="2597"/>
      <c r="F118" s="2598"/>
      <c r="G118" s="2598"/>
      <c r="H118" s="2598"/>
      <c r="I118" s="2598"/>
      <c r="J118" s="2598"/>
      <c r="K118" s="2598"/>
      <c r="L118" s="2598"/>
      <c r="M118" s="2598"/>
      <c r="N118" s="2598"/>
      <c r="O118" s="2598"/>
      <c r="P118" s="2598"/>
      <c r="Q118" s="2598"/>
      <c r="R118" s="2598"/>
      <c r="S118" s="2598"/>
      <c r="T118" s="2598"/>
      <c r="U118" s="2598"/>
      <c r="V118" s="2598"/>
      <c r="W118" s="2598"/>
      <c r="X118" s="2598"/>
      <c r="Y118" s="2598"/>
      <c r="Z118" s="2598"/>
      <c r="AA118" s="2598"/>
      <c r="AB118" s="2598"/>
      <c r="AC118" s="2598"/>
      <c r="AD118" s="2598"/>
      <c r="AE118" s="2598"/>
      <c r="AF118" s="2598"/>
      <c r="AG118" s="2598"/>
      <c r="AH118" s="2598"/>
      <c r="AI118" s="2598"/>
      <c r="AJ118" s="2599"/>
      <c r="AK118" s="540"/>
      <c r="AL118" s="540"/>
      <c r="AM118" s="540"/>
      <c r="AN118" s="535"/>
      <c r="AO118" s="536" t="str">
        <f>Application!B733</f>
        <v>3 Bedrooms</v>
      </c>
      <c r="AQ118" s="536">
        <f>Application!O733</f>
        <v>2680.6</v>
      </c>
      <c r="AU118" s="852" t="str">
        <f>T123</f>
        <v>3-bedroom</v>
      </c>
      <c r="AV118" s="536">
        <f t="array" ref="AV118">SUM(IF(Application!B726:F760="3 Bedrooms",Application!G726:J760))</f>
        <v>23</v>
      </c>
      <c r="AW118" s="1006">
        <f>AV118/AV121</f>
        <v>0.15753424657534246</v>
      </c>
    </row>
    <row r="119" spans="1:52" s="536" customFormat="1" ht="12.75" customHeight="1">
      <c r="A119" s="540"/>
      <c r="B119" s="539"/>
      <c r="C119" s="539"/>
      <c r="D119" s="539"/>
      <c r="E119" s="2597"/>
      <c r="F119" s="2598"/>
      <c r="G119" s="2598"/>
      <c r="H119" s="2598"/>
      <c r="I119" s="2598"/>
      <c r="J119" s="2598"/>
      <c r="K119" s="2598"/>
      <c r="L119" s="2598"/>
      <c r="M119" s="2598"/>
      <c r="N119" s="2598"/>
      <c r="O119" s="2598"/>
      <c r="P119" s="2598"/>
      <c r="Q119" s="2598"/>
      <c r="R119" s="2598"/>
      <c r="S119" s="2598"/>
      <c r="T119" s="2598"/>
      <c r="U119" s="2598"/>
      <c r="V119" s="2598"/>
      <c r="W119" s="2598"/>
      <c r="X119" s="2598"/>
      <c r="Y119" s="2598"/>
      <c r="Z119" s="2598"/>
      <c r="AA119" s="2598"/>
      <c r="AB119" s="2598"/>
      <c r="AC119" s="2598"/>
      <c r="AD119" s="2598"/>
      <c r="AE119" s="2598"/>
      <c r="AF119" s="2598"/>
      <c r="AG119" s="2598"/>
      <c r="AH119" s="2598"/>
      <c r="AI119" s="2598"/>
      <c r="AJ119" s="2599"/>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7"/>
      <c r="F120" s="2598"/>
      <c r="G120" s="2598"/>
      <c r="H120" s="2598"/>
      <c r="I120" s="2598"/>
      <c r="J120" s="2598"/>
      <c r="K120" s="2598"/>
      <c r="L120" s="2598"/>
      <c r="M120" s="2598"/>
      <c r="N120" s="2598"/>
      <c r="O120" s="2598"/>
      <c r="P120" s="2598"/>
      <c r="Q120" s="2598"/>
      <c r="R120" s="2598"/>
      <c r="S120" s="2598"/>
      <c r="T120" s="2598"/>
      <c r="U120" s="2598"/>
      <c r="V120" s="2598"/>
      <c r="W120" s="2598"/>
      <c r="X120" s="2598"/>
      <c r="Y120" s="2598"/>
      <c r="Z120" s="2598"/>
      <c r="AA120" s="2598"/>
      <c r="AB120" s="2598"/>
      <c r="AC120" s="2598"/>
      <c r="AD120" s="2598"/>
      <c r="AE120" s="2598"/>
      <c r="AF120" s="2598"/>
      <c r="AG120" s="2598"/>
      <c r="AH120" s="2598"/>
      <c r="AI120" s="2598"/>
      <c r="AJ120" s="2599"/>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7"/>
      <c r="F121" s="2598"/>
      <c r="G121" s="2598"/>
      <c r="H121" s="2598"/>
      <c r="I121" s="2598"/>
      <c r="J121" s="2598"/>
      <c r="K121" s="2598"/>
      <c r="L121" s="2598"/>
      <c r="M121" s="2598"/>
      <c r="N121" s="2598"/>
      <c r="O121" s="2598"/>
      <c r="P121" s="2598"/>
      <c r="Q121" s="2598"/>
      <c r="R121" s="2598"/>
      <c r="S121" s="2598"/>
      <c r="T121" s="2598"/>
      <c r="U121" s="2598"/>
      <c r="V121" s="2598"/>
      <c r="W121" s="2598"/>
      <c r="X121" s="2598"/>
      <c r="Y121" s="2598"/>
      <c r="Z121" s="2598"/>
      <c r="AA121" s="2598"/>
      <c r="AB121" s="2598"/>
      <c r="AC121" s="2598"/>
      <c r="AD121" s="2598"/>
      <c r="AE121" s="2598"/>
      <c r="AF121" s="2598"/>
      <c r="AG121" s="2598"/>
      <c r="AH121" s="2598"/>
      <c r="AI121" s="2598"/>
      <c r="AJ121" s="2599"/>
      <c r="AK121" s="540"/>
      <c r="AL121" s="540"/>
      <c r="AM121" s="540"/>
      <c r="AN121" s="535"/>
      <c r="AO121" s="536">
        <f>Application!B736</f>
        <v>0</v>
      </c>
      <c r="AQ121" s="536">
        <f>Application!O736</f>
        <v>0</v>
      </c>
      <c r="AV121" s="536">
        <f>SUM(AV115:AV120)</f>
        <v>146</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6" t="s">
        <v>1576</v>
      </c>
      <c r="F123" s="2607"/>
      <c r="G123" s="2607"/>
      <c r="H123" s="2607"/>
      <c r="I123" s="575"/>
      <c r="J123" s="2607" t="s">
        <v>1619</v>
      </c>
      <c r="K123" s="2607"/>
      <c r="L123" s="2607"/>
      <c r="M123" s="2607"/>
      <c r="N123" s="575"/>
      <c r="O123" s="2607" t="s">
        <v>1620</v>
      </c>
      <c r="P123" s="2607"/>
      <c r="Q123" s="2607"/>
      <c r="R123" s="2607"/>
      <c r="S123" s="575"/>
      <c r="T123" s="2607" t="s">
        <v>1327</v>
      </c>
      <c r="U123" s="2607"/>
      <c r="V123" s="2607"/>
      <c r="W123" s="2607"/>
      <c r="X123" s="575"/>
      <c r="Y123" s="2607" t="s">
        <v>1621</v>
      </c>
      <c r="Z123" s="2607"/>
      <c r="AA123" s="2607"/>
      <c r="AB123" s="2607"/>
      <c r="AC123" s="575"/>
      <c r="AD123" s="2607" t="s">
        <v>1622</v>
      </c>
      <c r="AE123" s="2607"/>
      <c r="AF123" s="2607"/>
      <c r="AG123" s="2607"/>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8"/>
      <c r="F126" s="2609"/>
      <c r="G126" s="2609"/>
      <c r="H126" s="2609"/>
      <c r="I126" s="860"/>
      <c r="J126" s="2609">
        <v>2278</v>
      </c>
      <c r="K126" s="2609"/>
      <c r="L126" s="2609"/>
      <c r="M126" s="2609"/>
      <c r="N126" s="860"/>
      <c r="O126" s="2609">
        <v>3236</v>
      </c>
      <c r="P126" s="2609"/>
      <c r="Q126" s="2609"/>
      <c r="R126" s="2609"/>
      <c r="S126" s="860"/>
      <c r="T126" s="2609">
        <v>3726</v>
      </c>
      <c r="U126" s="2609"/>
      <c r="V126" s="2609"/>
      <c r="W126" s="2609"/>
      <c r="X126" s="860"/>
      <c r="Y126" s="2609"/>
      <c r="Z126" s="2609"/>
      <c r="AA126" s="2609"/>
      <c r="AB126" s="2609"/>
      <c r="AC126" s="860"/>
      <c r="AD126" s="2609"/>
      <c r="AE126" s="2609"/>
      <c r="AF126" s="2609"/>
      <c r="AG126" s="2609"/>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2">
        <f>Application!DX678</f>
        <v>0</v>
      </c>
      <c r="F129" s="2616"/>
      <c r="G129" s="2616"/>
      <c r="H129" s="2616"/>
      <c r="I129" s="860"/>
      <c r="J129" s="2616">
        <f>Application!EC678</f>
        <v>1644.1666666666665</v>
      </c>
      <c r="K129" s="2616"/>
      <c r="L129" s="2616"/>
      <c r="M129" s="2616"/>
      <c r="N129" s="860"/>
      <c r="O129" s="2616">
        <f>Application!EH678</f>
        <v>2001.8647058823528</v>
      </c>
      <c r="P129" s="2616"/>
      <c r="Q129" s="2616"/>
      <c r="R129" s="2616"/>
      <c r="S129" s="864"/>
      <c r="T129" s="2616">
        <f>Application!EM678</f>
        <v>2201.1913043478262</v>
      </c>
      <c r="U129" s="2616"/>
      <c r="V129" s="2616"/>
      <c r="W129" s="2616"/>
      <c r="X129" s="864"/>
      <c r="Y129" s="2616">
        <f>Application!ER678</f>
        <v>0</v>
      </c>
      <c r="Z129" s="2616"/>
      <c r="AA129" s="2616"/>
      <c r="AB129" s="2616"/>
      <c r="AC129" s="864"/>
      <c r="AD129" s="2616">
        <f>Application!EW678</f>
        <v>0</v>
      </c>
      <c r="AE129" s="2616"/>
      <c r="AF129" s="2616"/>
      <c r="AG129" s="2616"/>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4" t="e">
        <f>(E126-E129)/E126</f>
        <v>#DIV/0!</v>
      </c>
      <c r="F132" s="2425"/>
      <c r="G132" s="2425"/>
      <c r="H132" s="2426"/>
      <c r="I132" s="575"/>
      <c r="J132" s="2424">
        <f>(J126-J129)/J126</f>
        <v>0.27824114720515081</v>
      </c>
      <c r="K132" s="2425"/>
      <c r="L132" s="2425"/>
      <c r="M132" s="2426"/>
      <c r="N132" s="575"/>
      <c r="O132" s="2424">
        <f>(O126-O129)/O126</f>
        <v>0.38137679051843237</v>
      </c>
      <c r="P132" s="2425"/>
      <c r="Q132" s="2425"/>
      <c r="R132" s="2426"/>
      <c r="S132" s="575"/>
      <c r="T132" s="2424">
        <f>(T126-T129)/T126</f>
        <v>0.40923475460337461</v>
      </c>
      <c r="U132" s="2425"/>
      <c r="V132" s="2425"/>
      <c r="W132" s="2426"/>
      <c r="X132" s="575"/>
      <c r="Y132" s="2424" t="e">
        <f>(Y126-Y129)/Y126</f>
        <v>#DIV/0!</v>
      </c>
      <c r="Z132" s="2425"/>
      <c r="AA132" s="2425"/>
      <c r="AB132" s="2426"/>
      <c r="AC132" s="575"/>
      <c r="AD132" s="2424" t="e">
        <f>(AD126-AD129)/AD126</f>
        <v>#DIV/0!</v>
      </c>
      <c r="AE132" s="2425"/>
      <c r="AF132" s="2425"/>
      <c r="AG132" s="2426"/>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3" t="e">
        <f>IF(((E132-0.1)*AW115)&gt;0,((E132-0.1)*AW115),0)</f>
        <v>#DIV/0!</v>
      </c>
      <c r="F135" s="2614"/>
      <c r="G135" s="2614"/>
      <c r="H135" s="2615"/>
      <c r="I135" s="575"/>
      <c r="J135" s="2613">
        <f>IF(((J132-0.1)*AW116)&gt;0,((J132-0.1)*AW116),0)</f>
        <v>8.7899743827197646E-2</v>
      </c>
      <c r="K135" s="2614"/>
      <c r="L135" s="2614"/>
      <c r="M135" s="2615"/>
      <c r="N135" s="575"/>
      <c r="O135" s="2613">
        <f>IF(((O132-0.1)*AW117)&gt;0,((O132-0.1)*AW117),0)</f>
        <v>9.8289152852329101E-2</v>
      </c>
      <c r="P135" s="2614"/>
      <c r="Q135" s="2614"/>
      <c r="R135" s="2615"/>
      <c r="S135" s="575"/>
      <c r="T135" s="2613">
        <f>IF(((T132-0.1)*AW118)&gt;0,((T132-0.1)*AW118),0)</f>
        <v>4.8715064081353524E-2</v>
      </c>
      <c r="U135" s="2614"/>
      <c r="V135" s="2614"/>
      <c r="W135" s="2615"/>
      <c r="X135" s="575"/>
      <c r="Y135" s="2613" t="e">
        <f>IF(((Y132-0.1)*AW119)&gt;0,((Y132-0.1)*AW119),0)</f>
        <v>#DIV/0!</v>
      </c>
      <c r="Z135" s="2614"/>
      <c r="AA135" s="2614"/>
      <c r="AB135" s="2615"/>
      <c r="AC135" s="575"/>
      <c r="AD135" s="2613" t="e">
        <f>IF(((AD132-0.1)*AW120)&gt;0,((AD132-0.1)*AW120),0)</f>
        <v>#DIV/0!</v>
      </c>
      <c r="AE135" s="2614"/>
      <c r="AF135" s="2614"/>
      <c r="AG135" s="2615"/>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4">
        <f>ROUNDDOWN(SUMIF(E135:AG135,"&gt;0"),2)</f>
        <v>0.23</v>
      </c>
      <c r="F137" s="2425"/>
      <c r="G137" s="2425"/>
      <c r="H137" s="2426"/>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5">
        <f>IF((E137*100)&gt;10,10,E137*100)</f>
        <v>10</v>
      </c>
      <c r="F138" s="2586"/>
      <c r="G138" s="2586"/>
      <c r="H138" s="2587"/>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5">
        <f>E138</f>
        <v>10</v>
      </c>
      <c r="AL142" s="2586"/>
      <c r="AM142" s="2587"/>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51" t="s">
        <v>1307</v>
      </c>
      <c r="AF145" s="2451"/>
      <c r="AG145" s="2451"/>
      <c r="AH145" s="2451"/>
      <c r="AI145" s="2451"/>
      <c r="AJ145" s="2451"/>
      <c r="AK145" s="2451"/>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2" t="s">
        <v>1331</v>
      </c>
      <c r="AG147" s="2392"/>
      <c r="AH147" s="2392"/>
      <c r="AI147" s="2392"/>
      <c r="AJ147" s="2392"/>
      <c r="AK147" s="2392"/>
      <c r="AL147" s="2392"/>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9" t="s">
        <v>2666</v>
      </c>
      <c r="C149" s="2589"/>
      <c r="D149" s="2589"/>
      <c r="E149" s="2589"/>
      <c r="F149" s="2589"/>
      <c r="G149" s="2589"/>
      <c r="H149" s="2589"/>
      <c r="I149" s="2589"/>
      <c r="J149" s="2589"/>
      <c r="K149" s="2589"/>
      <c r="L149" s="2589"/>
      <c r="M149" s="2589"/>
      <c r="N149" s="2589"/>
      <c r="O149" s="2589"/>
      <c r="P149" s="2589"/>
      <c r="Q149" s="2589"/>
      <c r="R149" s="2589"/>
      <c r="S149" s="2589"/>
      <c r="T149" s="2589"/>
      <c r="U149" s="2589"/>
      <c r="V149" s="2589"/>
      <c r="W149" s="2589"/>
      <c r="X149" s="2589"/>
      <c r="Y149" s="2589"/>
      <c r="Z149" s="2589"/>
      <c r="AA149" s="2589"/>
      <c r="AB149" s="2589"/>
      <c r="AC149" s="2589"/>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90" t="s">
        <v>1334</v>
      </c>
      <c r="C152" s="2590"/>
      <c r="D152" s="2590"/>
      <c r="E152" s="2590"/>
      <c r="F152" s="2590"/>
      <c r="G152" s="2590"/>
      <c r="H152" s="2590"/>
      <c r="I152" s="2590"/>
      <c r="J152" s="2590"/>
      <c r="K152" s="2590"/>
      <c r="L152" s="2590"/>
      <c r="M152" s="2590"/>
      <c r="N152" s="2590"/>
      <c r="O152" s="2590"/>
      <c r="P152" s="2590"/>
      <c r="Q152" s="2590"/>
      <c r="R152" s="2590"/>
      <c r="S152" s="2590"/>
      <c r="T152" s="2590"/>
      <c r="U152" s="2590"/>
      <c r="V152" s="2590"/>
      <c r="W152" s="2590"/>
      <c r="X152" s="2590"/>
      <c r="Y152" s="2590"/>
      <c r="Z152" s="2590"/>
      <c r="AA152" s="2590"/>
      <c r="AB152" s="2590"/>
      <c r="AC152" s="2590"/>
      <c r="AD152" s="2590"/>
      <c r="AE152" s="2590"/>
      <c r="AF152" s="2590"/>
      <c r="AG152" s="2590"/>
      <c r="AH152" s="2590"/>
      <c r="AI152" s="2590"/>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2627</v>
      </c>
      <c r="AP153" s="489">
        <v>7</v>
      </c>
    </row>
    <row r="154" spans="1:42" s="536" customFormat="1" ht="12.75" customHeight="1">
      <c r="A154" s="538"/>
      <c r="B154" s="539" t="s">
        <v>1335</v>
      </c>
      <c r="AB154" s="2399" t="s">
        <v>591</v>
      </c>
      <c r="AC154" s="2399"/>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90" t="s">
        <v>1336</v>
      </c>
      <c r="C157" s="2590"/>
      <c r="D157" s="2590"/>
      <c r="E157" s="2590"/>
      <c r="F157" s="2590"/>
      <c r="G157" s="2590"/>
      <c r="H157" s="2590"/>
      <c r="I157" s="2590"/>
      <c r="J157" s="2590"/>
      <c r="K157" s="2590"/>
      <c r="L157" s="2590"/>
      <c r="M157" s="2590"/>
      <c r="N157" s="2590"/>
      <c r="O157" s="2590"/>
      <c r="P157" s="2590"/>
      <c r="Q157" s="2590"/>
      <c r="R157" s="2590"/>
      <c r="S157" s="2590"/>
      <c r="T157" s="2590"/>
      <c r="U157" s="2590"/>
      <c r="V157" s="2590"/>
      <c r="W157" s="2590"/>
      <c r="X157" s="2590"/>
      <c r="Y157" s="2590"/>
      <c r="Z157" s="2590"/>
      <c r="AA157" s="2590"/>
      <c r="AB157" s="2590"/>
      <c r="AC157" s="2590"/>
      <c r="AD157" s="2590"/>
      <c r="AE157" s="2590"/>
      <c r="AF157" s="2590"/>
      <c r="AG157" s="2590"/>
      <c r="AH157" s="2590"/>
      <c r="AI157" s="2590"/>
      <c r="AJ157" s="2590"/>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6" t="s">
        <v>2407</v>
      </c>
      <c r="C160" s="2396"/>
      <c r="D160" s="2396"/>
      <c r="E160" s="2396"/>
      <c r="F160" s="2396"/>
      <c r="G160" s="2396"/>
      <c r="H160" s="2396"/>
      <c r="I160" s="2396"/>
      <c r="J160" s="2396"/>
      <c r="K160" s="2396"/>
      <c r="L160" s="2396"/>
      <c r="M160" s="2396"/>
      <c r="N160" s="2396"/>
      <c r="O160" s="2396"/>
      <c r="P160" s="2396"/>
      <c r="Q160" s="2396"/>
      <c r="R160" s="2396"/>
      <c r="S160" s="2396"/>
      <c r="T160" s="2396"/>
      <c r="U160" s="2396"/>
      <c r="V160" s="2396"/>
      <c r="W160" s="2396"/>
      <c r="X160" s="2396"/>
      <c r="Y160" s="2396"/>
      <c r="Z160" s="2396"/>
      <c r="AA160" s="2396"/>
      <c r="AB160" s="2396"/>
      <c r="AC160" s="2396"/>
      <c r="AD160" s="2396"/>
      <c r="AE160" s="2396"/>
      <c r="AF160" s="2396"/>
      <c r="AG160" s="2396"/>
      <c r="AH160" s="2396"/>
      <c r="AI160" s="2396"/>
      <c r="AJ160" s="2396"/>
      <c r="AK160" s="1173"/>
      <c r="AM160" s="539"/>
      <c r="AN160" s="535"/>
      <c r="AO160" s="476"/>
      <c r="AP160" s="489"/>
    </row>
    <row r="161" spans="1:42" s="536" customFormat="1" ht="12.75" customHeight="1">
      <c r="B161" s="2396"/>
      <c r="C161" s="2396"/>
      <c r="D161" s="2396"/>
      <c r="E161" s="2396"/>
      <c r="F161" s="2396"/>
      <c r="G161" s="2396"/>
      <c r="H161" s="2396"/>
      <c r="I161" s="2396"/>
      <c r="J161" s="2396"/>
      <c r="K161" s="2396"/>
      <c r="L161" s="2396"/>
      <c r="M161" s="2396"/>
      <c r="N161" s="2396"/>
      <c r="O161" s="2396"/>
      <c r="P161" s="2396"/>
      <c r="Q161" s="2396"/>
      <c r="R161" s="2396"/>
      <c r="S161" s="2396"/>
      <c r="T161" s="2396"/>
      <c r="U161" s="2396"/>
      <c r="V161" s="2396"/>
      <c r="W161" s="2396"/>
      <c r="X161" s="2396"/>
      <c r="Y161" s="2396"/>
      <c r="Z161" s="2396"/>
      <c r="AA161" s="2396"/>
      <c r="AB161" s="2396"/>
      <c r="AC161" s="2396"/>
      <c r="AD161" s="2396"/>
      <c r="AE161" s="2396"/>
      <c r="AF161" s="2396"/>
      <c r="AG161" s="2396"/>
      <c r="AH161" s="2396"/>
      <c r="AI161" s="2396"/>
      <c r="AJ161" s="2396"/>
      <c r="AK161" s="1173"/>
      <c r="AM161" s="539"/>
      <c r="AN161" s="535"/>
      <c r="AO161" s="476"/>
      <c r="AP161" s="489"/>
    </row>
    <row r="162" spans="1:42" s="536" customFormat="1" ht="12.75" customHeight="1">
      <c r="C162" s="2397" t="s">
        <v>2408</v>
      </c>
      <c r="D162" s="2397"/>
      <c r="E162" s="2397"/>
      <c r="F162" s="2397"/>
      <c r="G162" s="2397"/>
      <c r="H162" s="2397"/>
      <c r="I162" s="2397"/>
      <c r="J162" s="2397"/>
      <c r="K162" s="2397"/>
      <c r="L162" s="2397"/>
      <c r="M162" s="2397"/>
      <c r="N162" s="2397"/>
      <c r="O162" s="2397"/>
      <c r="P162" s="2397"/>
      <c r="Q162" s="2397"/>
      <c r="R162" s="2397"/>
      <c r="S162" s="2397"/>
      <c r="T162" s="2397"/>
      <c r="U162" s="2397"/>
      <c r="V162" s="2397"/>
      <c r="W162" s="2397"/>
      <c r="X162" s="2397"/>
      <c r="Y162" s="2397"/>
      <c r="Z162" s="2397"/>
      <c r="AA162" s="2397"/>
      <c r="AB162" s="2397"/>
      <c r="AC162" s="2397"/>
      <c r="AD162" s="2397"/>
      <c r="AE162" s="2397"/>
      <c r="AF162" s="2397"/>
      <c r="AG162" s="2397"/>
      <c r="AH162" s="2397"/>
      <c r="AI162" s="2397"/>
      <c r="AJ162" s="2397"/>
      <c r="AK162" s="1173"/>
      <c r="AM162" s="539"/>
      <c r="AN162" s="535"/>
      <c r="AO162" s="476"/>
      <c r="AP162" s="489"/>
    </row>
    <row r="163" spans="1:42" s="536" customFormat="1" ht="12.75" customHeight="1">
      <c r="B163" s="1173"/>
      <c r="C163" s="2398" t="s">
        <v>2406</v>
      </c>
      <c r="D163" s="2398"/>
      <c r="E163" s="2398"/>
      <c r="F163" s="2398"/>
      <c r="G163" s="2398"/>
      <c r="H163" s="2398"/>
      <c r="I163" s="2398"/>
      <c r="J163" s="2398"/>
      <c r="K163" s="2398"/>
      <c r="L163" s="2398"/>
      <c r="M163" s="2398"/>
      <c r="N163" s="2398"/>
      <c r="O163" s="2398"/>
      <c r="P163" s="2398"/>
      <c r="Q163" s="2398"/>
      <c r="R163" s="2398"/>
      <c r="S163" s="2398"/>
      <c r="T163" s="2398"/>
      <c r="U163" s="2398"/>
      <c r="V163" s="2398"/>
      <c r="W163" s="2398"/>
      <c r="X163" s="2398"/>
      <c r="Y163" s="2398"/>
      <c r="Z163" s="2398"/>
      <c r="AA163" s="1163"/>
      <c r="AB163" s="1163"/>
      <c r="AC163" s="1163"/>
      <c r="AD163" s="1163"/>
      <c r="AE163" s="1163"/>
      <c r="AF163" s="1163"/>
      <c r="AG163" s="1163"/>
      <c r="AH163" s="1163"/>
      <c r="AJ163" s="2399" t="s">
        <v>591</v>
      </c>
      <c r="AK163" s="2399"/>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91">
        <f>IF($AB$154="N/A",VLOOKUP($B$152,$AO$150:$AP$153,2,FALSE),VLOOKUP($B$157,$AO$155:$AP$157,2,FALSE))</f>
        <v>7</v>
      </c>
      <c r="AK165" s="2491"/>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2" t="s">
        <v>1345</v>
      </c>
      <c r="AG167" s="2392"/>
      <c r="AH167" s="2392"/>
      <c r="AI167" s="2392"/>
      <c r="AJ167" s="2392"/>
      <c r="AK167" s="2392"/>
      <c r="AL167" s="2392"/>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0" t="s">
        <v>1343</v>
      </c>
      <c r="D169" s="2590"/>
      <c r="E169" s="2590"/>
      <c r="F169" s="2590"/>
      <c r="G169" s="2590"/>
      <c r="H169" s="2590"/>
      <c r="I169" s="2590"/>
      <c r="J169" s="2590"/>
      <c r="K169" s="2590"/>
      <c r="L169" s="2590"/>
      <c r="M169" s="2590"/>
      <c r="N169" s="2590"/>
      <c r="O169" s="2590"/>
      <c r="P169" s="2590"/>
      <c r="Q169" s="2590"/>
      <c r="R169" s="2590"/>
      <c r="S169" s="2590"/>
      <c r="T169" s="2590"/>
      <c r="U169" s="2590"/>
      <c r="V169" s="2590"/>
      <c r="W169" s="2590"/>
      <c r="X169" s="2590"/>
      <c r="Y169" s="2590"/>
      <c r="Z169" s="2590"/>
      <c r="AA169" s="2590"/>
      <c r="AB169" s="2590"/>
      <c r="AC169" s="2590"/>
      <c r="AD169" s="2590"/>
      <c r="AE169" s="2590"/>
      <c r="AF169" s="2590"/>
      <c r="AG169" s="2590"/>
      <c r="AH169" s="2590"/>
      <c r="AI169" s="2590"/>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9" t="s">
        <v>591</v>
      </c>
      <c r="AG171" s="2399"/>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90" t="s">
        <v>1336</v>
      </c>
      <c r="D173" s="2590"/>
      <c r="E173" s="2590"/>
      <c r="F173" s="2590"/>
      <c r="G173" s="2590"/>
      <c r="H173" s="2590"/>
      <c r="I173" s="2590"/>
      <c r="J173" s="2590"/>
      <c r="K173" s="2590"/>
      <c r="L173" s="2590"/>
      <c r="M173" s="2590"/>
      <c r="N173" s="2590"/>
      <c r="O173" s="2590"/>
      <c r="P173" s="2590"/>
      <c r="Q173" s="2590"/>
      <c r="R173" s="2590"/>
      <c r="S173" s="2590"/>
      <c r="T173" s="2590"/>
      <c r="U173" s="2590"/>
      <c r="V173" s="2590"/>
      <c r="W173" s="2590"/>
      <c r="X173" s="2590"/>
      <c r="Y173" s="2590"/>
      <c r="Z173" s="2590"/>
      <c r="AA173" s="2590"/>
      <c r="AB173" s="2590"/>
      <c r="AC173" s="2590"/>
      <c r="AD173" s="2590"/>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91" t="str">
        <f>Application!AA344</f>
        <v>Aperto Property Management, Inc.</v>
      </c>
      <c r="D177" s="2591"/>
      <c r="E177" s="2591"/>
      <c r="F177" s="2591"/>
      <c r="G177" s="2591"/>
      <c r="H177" s="2591"/>
      <c r="I177" s="2591"/>
      <c r="J177" s="2591"/>
      <c r="K177" s="2591"/>
      <c r="L177" s="2591"/>
      <c r="M177" s="2591"/>
      <c r="N177" s="2591"/>
      <c r="O177" s="2591"/>
      <c r="P177" s="2591"/>
      <c r="Q177" s="2591"/>
      <c r="R177" s="2591"/>
      <c r="S177" s="2591"/>
      <c r="T177" s="2591"/>
      <c r="U177" s="2591"/>
      <c r="V177" s="2591"/>
      <c r="W177" s="2591"/>
      <c r="X177" s="2591"/>
      <c r="Y177" s="2591"/>
      <c r="Z177" s="2591"/>
      <c r="AA177" s="2591"/>
      <c r="AB177" s="2591"/>
      <c r="AC177" s="2591"/>
      <c r="AD177" s="2591"/>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90">
        <f>IF($AF$171="N/A",VLOOKUP($C$169,$AO$169:$AP$172,2,FALSE),VLOOKUP($C$173,$AO$176:$AP$178,2,FALSE))</f>
        <v>3</v>
      </c>
      <c r="AK179" s="2490"/>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5">
        <f>$AJ$165+$AJ$179</f>
        <v>10</v>
      </c>
      <c r="AL182" s="2586"/>
      <c r="AM182" s="2587"/>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1" t="s">
        <v>1307</v>
      </c>
      <c r="AF185" s="2451"/>
      <c r="AG185" s="2451"/>
      <c r="AH185" s="2451"/>
      <c r="AI185" s="2451"/>
      <c r="AJ185" s="2451"/>
      <c r="AK185" s="2451"/>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8" t="s">
        <v>2628</v>
      </c>
      <c r="C187" s="2588"/>
      <c r="D187" s="2588"/>
      <c r="E187" s="2588"/>
      <c r="F187" s="2588"/>
      <c r="G187" s="2588"/>
      <c r="H187" s="2588"/>
      <c r="I187" s="2588"/>
      <c r="J187" s="2588"/>
      <c r="K187" s="2588"/>
      <c r="L187" s="2588"/>
      <c r="M187" s="2588"/>
      <c r="N187" s="2588"/>
      <c r="O187" s="2588"/>
      <c r="P187" s="2588"/>
      <c r="Q187" s="2588"/>
      <c r="R187" s="2588"/>
      <c r="S187" s="2588"/>
      <c r="T187" s="2588"/>
      <c r="U187" s="2588"/>
      <c r="V187" s="2588"/>
      <c r="W187" s="2588"/>
      <c r="X187" s="2588"/>
      <c r="Y187" s="2588"/>
      <c r="Z187" s="2588"/>
      <c r="AA187" s="2588"/>
      <c r="AB187" s="2588"/>
      <c r="AC187" s="2588"/>
      <c r="AD187" s="536"/>
      <c r="AE187" s="536"/>
      <c r="AF187" s="2392" t="s">
        <v>1356</v>
      </c>
      <c r="AG187" s="2392"/>
      <c r="AH187" s="2392"/>
      <c r="AI187" s="2392"/>
      <c r="AJ187" s="2392"/>
      <c r="AK187" s="2392"/>
      <c r="AL187" s="2392"/>
      <c r="AN187" s="595"/>
      <c r="AP187" s="549" t="s">
        <v>1042</v>
      </c>
      <c r="AQ187" s="549">
        <v>10</v>
      </c>
    </row>
    <row r="188" spans="1:73" s="549" customFormat="1" ht="12.75" customHeight="1">
      <c r="A188" s="536"/>
      <c r="B188" s="2398" t="s">
        <v>1714</v>
      </c>
      <c r="C188" s="2398"/>
      <c r="D188" s="2398"/>
      <c r="E188" s="2398"/>
      <c r="F188" s="2398"/>
      <c r="G188" s="2398"/>
      <c r="H188" s="2398"/>
      <c r="I188" s="2398"/>
      <c r="J188" s="2398"/>
      <c r="K188" s="2398"/>
      <c r="L188" s="2398"/>
      <c r="M188" s="2398"/>
      <c r="N188" s="2398"/>
      <c r="O188" s="2398"/>
      <c r="P188" s="2398"/>
      <c r="Q188" s="2398"/>
      <c r="R188" s="2398"/>
      <c r="S188" s="2398"/>
      <c r="T188" s="2589" t="s">
        <v>591</v>
      </c>
      <c r="U188" s="2589"/>
      <c r="V188" s="2589"/>
      <c r="W188" s="2589"/>
      <c r="X188" s="2589"/>
      <c r="Y188" s="2589"/>
      <c r="Z188" s="2589"/>
      <c r="AA188" s="2589"/>
      <c r="AB188" s="2589"/>
      <c r="AC188" s="2589"/>
      <c r="AD188" s="536"/>
      <c r="AE188" s="536"/>
      <c r="AF188" s="536"/>
      <c r="AG188" s="536"/>
      <c r="AH188" s="536"/>
      <c r="AI188" s="536"/>
      <c r="AJ188" s="543"/>
      <c r="AK188" s="593"/>
      <c r="AL188" s="593"/>
      <c r="AM188" s="593"/>
      <c r="AN188" s="595"/>
      <c r="AP188" s="549" t="s">
        <v>1357</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2628</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4">
        <f>IF(AK83&gt;0,VLOOKUP($B$187,AP184:AQ190,2,FALSE),0)</f>
        <v>10</v>
      </c>
      <c r="AL190" s="2440"/>
      <c r="AM190" s="2395"/>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1" t="s">
        <v>1364</v>
      </c>
      <c r="AF193" s="2451"/>
      <c r="AG193" s="2451"/>
      <c r="AH193" s="2451"/>
      <c r="AI193" s="2451"/>
      <c r="AJ193" s="2451"/>
      <c r="AK193" s="2451"/>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9"/>
      <c r="C198" s="2559"/>
      <c r="D198" s="2559"/>
      <c r="E198" s="2559"/>
      <c r="F198" s="2559"/>
      <c r="G198" s="2559"/>
      <c r="H198" s="2559"/>
      <c r="I198" s="2559"/>
      <c r="J198" s="2559"/>
      <c r="K198" s="2559"/>
      <c r="L198" s="2559"/>
      <c r="M198" s="2559"/>
      <c r="N198" s="2559"/>
      <c r="O198" s="2559"/>
      <c r="P198" s="2559"/>
      <c r="Q198" s="2559"/>
      <c r="R198" s="2559"/>
      <c r="S198" s="2559"/>
      <c r="T198" s="2559"/>
      <c r="U198" s="2559"/>
      <c r="V198" s="2559"/>
      <c r="W198" s="2559"/>
      <c r="X198" s="2559"/>
      <c r="Y198" s="2559"/>
      <c r="Z198" s="2559"/>
      <c r="AA198" s="2559"/>
      <c r="AB198" s="2559"/>
      <c r="AC198" s="842"/>
      <c r="AD198" s="2575"/>
      <c r="AE198" s="2575"/>
      <c r="AF198" s="2575"/>
      <c r="AG198" s="2575"/>
      <c r="AH198" s="2575"/>
      <c r="AI198" s="2575"/>
      <c r="AJ198" s="2575"/>
      <c r="AK198" s="608"/>
    </row>
    <row r="199" spans="1:37" hidden="1">
      <c r="A199" s="603"/>
      <c r="B199" s="2559"/>
      <c r="C199" s="2559"/>
      <c r="D199" s="2559"/>
      <c r="E199" s="2559"/>
      <c r="F199" s="2559"/>
      <c r="G199" s="2559"/>
      <c r="H199" s="2559"/>
      <c r="I199" s="2559"/>
      <c r="J199" s="2559"/>
      <c r="K199" s="2559"/>
      <c r="L199" s="2559"/>
      <c r="M199" s="2559"/>
      <c r="N199" s="2559"/>
      <c r="O199" s="2559"/>
      <c r="P199" s="2559"/>
      <c r="Q199" s="2559"/>
      <c r="R199" s="2559"/>
      <c r="S199" s="2559"/>
      <c r="T199" s="2559"/>
      <c r="U199" s="2559"/>
      <c r="V199" s="2559"/>
      <c r="W199" s="2559"/>
      <c r="X199" s="2559"/>
      <c r="Y199" s="2559"/>
      <c r="Z199" s="2559"/>
      <c r="AA199" s="2559"/>
      <c r="AB199" s="2559"/>
      <c r="AC199" s="842"/>
      <c r="AD199" s="2575"/>
      <c r="AE199" s="2575"/>
      <c r="AF199" s="2575"/>
      <c r="AG199" s="2575"/>
      <c r="AH199" s="2575"/>
      <c r="AI199" s="2575"/>
      <c r="AJ199" s="2575"/>
      <c r="AK199" s="608"/>
    </row>
    <row r="200" spans="1:37" hidden="1">
      <c r="A200" s="603"/>
      <c r="B200" s="2559"/>
      <c r="C200" s="2559"/>
      <c r="D200" s="2559"/>
      <c r="E200" s="2559"/>
      <c r="F200" s="2559"/>
      <c r="G200" s="2559"/>
      <c r="H200" s="2559"/>
      <c r="I200" s="2559"/>
      <c r="J200" s="2559"/>
      <c r="K200" s="2559"/>
      <c r="L200" s="2559"/>
      <c r="M200" s="2559"/>
      <c r="N200" s="2559"/>
      <c r="O200" s="2559"/>
      <c r="P200" s="2559"/>
      <c r="Q200" s="2559"/>
      <c r="R200" s="2559"/>
      <c r="S200" s="2559"/>
      <c r="T200" s="2559"/>
      <c r="U200" s="2559"/>
      <c r="V200" s="2559"/>
      <c r="W200" s="2559"/>
      <c r="X200" s="2559"/>
      <c r="Y200" s="2559"/>
      <c r="Z200" s="2559"/>
      <c r="AA200" s="2559"/>
      <c r="AB200" s="2559"/>
      <c r="AC200" s="842"/>
      <c r="AD200" s="2575"/>
      <c r="AE200" s="2575"/>
      <c r="AF200" s="2575"/>
      <c r="AG200" s="2575"/>
      <c r="AH200" s="2575"/>
      <c r="AI200" s="2575"/>
      <c r="AJ200" s="2575"/>
      <c r="AK200" s="608"/>
    </row>
    <row r="201" spans="1:37" hidden="1">
      <c r="A201" s="603"/>
      <c r="B201" s="2559"/>
      <c r="C201" s="2559"/>
      <c r="D201" s="2559"/>
      <c r="E201" s="2559"/>
      <c r="F201" s="2559"/>
      <c r="G201" s="2559"/>
      <c r="H201" s="2559"/>
      <c r="I201" s="2559"/>
      <c r="J201" s="2559"/>
      <c r="K201" s="2559"/>
      <c r="L201" s="2559"/>
      <c r="M201" s="2559"/>
      <c r="N201" s="2559"/>
      <c r="O201" s="2559"/>
      <c r="P201" s="2559"/>
      <c r="Q201" s="2559"/>
      <c r="R201" s="2559"/>
      <c r="S201" s="2559"/>
      <c r="T201" s="2559"/>
      <c r="U201" s="2559"/>
      <c r="V201" s="2559"/>
      <c r="W201" s="2559"/>
      <c r="X201" s="2559"/>
      <c r="Y201" s="2559"/>
      <c r="Z201" s="2559"/>
      <c r="AA201" s="2559"/>
      <c r="AB201" s="2559"/>
      <c r="AC201" s="842"/>
      <c r="AD201" s="2575"/>
      <c r="AE201" s="2575"/>
      <c r="AF201" s="2575"/>
      <c r="AG201" s="2575"/>
      <c r="AH201" s="2575"/>
      <c r="AI201" s="2575"/>
      <c r="AJ201" s="2575"/>
      <c r="AK201" s="608"/>
    </row>
    <row r="202" spans="1:37" hidden="1">
      <c r="A202" s="603"/>
      <c r="B202" s="2559"/>
      <c r="C202" s="2559"/>
      <c r="D202" s="2559"/>
      <c r="E202" s="2559"/>
      <c r="F202" s="2559"/>
      <c r="G202" s="2559"/>
      <c r="H202" s="2559"/>
      <c r="I202" s="2559"/>
      <c r="J202" s="2559"/>
      <c r="K202" s="2559"/>
      <c r="L202" s="2559"/>
      <c r="M202" s="2559"/>
      <c r="N202" s="2559"/>
      <c r="O202" s="2559"/>
      <c r="P202" s="2559"/>
      <c r="Q202" s="2559"/>
      <c r="R202" s="2559"/>
      <c r="S202" s="2559"/>
      <c r="T202" s="2559"/>
      <c r="U202" s="2559"/>
      <c r="V202" s="2559"/>
      <c r="W202" s="2559"/>
      <c r="X202" s="2559"/>
      <c r="Y202" s="2559"/>
      <c r="Z202" s="2559"/>
      <c r="AA202" s="2559"/>
      <c r="AB202" s="2559"/>
      <c r="AC202" s="842"/>
      <c r="AD202" s="2575"/>
      <c r="AE202" s="2575"/>
      <c r="AF202" s="2575"/>
      <c r="AG202" s="2575"/>
      <c r="AH202" s="2575"/>
      <c r="AI202" s="2575"/>
      <c r="AJ202" s="2575"/>
      <c r="AK202" s="608"/>
    </row>
    <row r="203" spans="1:37" hidden="1">
      <c r="A203" s="603"/>
      <c r="B203" s="2559"/>
      <c r="C203" s="2559"/>
      <c r="D203" s="2559"/>
      <c r="E203" s="2559"/>
      <c r="F203" s="2559"/>
      <c r="G203" s="2559"/>
      <c r="H203" s="2559"/>
      <c r="I203" s="2559"/>
      <c r="J203" s="2559"/>
      <c r="K203" s="2559"/>
      <c r="L203" s="2559"/>
      <c r="M203" s="2559"/>
      <c r="N203" s="2559"/>
      <c r="O203" s="2559"/>
      <c r="P203" s="2559"/>
      <c r="Q203" s="2559"/>
      <c r="R203" s="2559"/>
      <c r="S203" s="2559"/>
      <c r="T203" s="2559"/>
      <c r="U203" s="2559"/>
      <c r="V203" s="2559"/>
      <c r="W203" s="2559"/>
      <c r="X203" s="2559"/>
      <c r="Y203" s="2559"/>
      <c r="Z203" s="2559"/>
      <c r="AA203" s="2559"/>
      <c r="AB203" s="2559"/>
      <c r="AC203" s="842"/>
      <c r="AD203" s="2575"/>
      <c r="AE203" s="2575"/>
      <c r="AF203" s="2575"/>
      <c r="AG203" s="2575"/>
      <c r="AH203" s="2575"/>
      <c r="AI203" s="2575"/>
      <c r="AJ203" s="2575"/>
      <c r="AK203" s="608"/>
    </row>
    <row r="204" spans="1:37" hidden="1">
      <c r="A204" s="603"/>
      <c r="B204" s="2559"/>
      <c r="C204" s="2559"/>
      <c r="D204" s="2559"/>
      <c r="E204" s="2559"/>
      <c r="F204" s="2559"/>
      <c r="G204" s="2559"/>
      <c r="H204" s="2559"/>
      <c r="I204" s="2559"/>
      <c r="J204" s="2559"/>
      <c r="K204" s="2559"/>
      <c r="L204" s="2559"/>
      <c r="M204" s="2559"/>
      <c r="N204" s="2559"/>
      <c r="O204" s="2559"/>
      <c r="P204" s="2559"/>
      <c r="Q204" s="2559"/>
      <c r="R204" s="2559"/>
      <c r="S204" s="2559"/>
      <c r="T204" s="2559"/>
      <c r="U204" s="2559"/>
      <c r="V204" s="2559"/>
      <c r="W204" s="2559"/>
      <c r="X204" s="2559"/>
      <c r="Y204" s="2559"/>
      <c r="Z204" s="2559"/>
      <c r="AA204" s="2559"/>
      <c r="AB204" s="2559"/>
      <c r="AC204" s="842"/>
      <c r="AD204" s="2575"/>
      <c r="AE204" s="2575"/>
      <c r="AF204" s="2575"/>
      <c r="AG204" s="2575"/>
      <c r="AH204" s="2575"/>
      <c r="AI204" s="2575"/>
      <c r="AJ204" s="2575"/>
      <c r="AK204" s="608"/>
    </row>
    <row r="205" spans="1:37" hidden="1">
      <c r="A205" s="603"/>
      <c r="B205" s="2559"/>
      <c r="C205" s="2559"/>
      <c r="D205" s="2559"/>
      <c r="E205" s="2559"/>
      <c r="F205" s="2559"/>
      <c r="G205" s="2559"/>
      <c r="H205" s="2559"/>
      <c r="I205" s="2559"/>
      <c r="J205" s="2559"/>
      <c r="K205" s="2559"/>
      <c r="L205" s="2559"/>
      <c r="M205" s="2559"/>
      <c r="N205" s="2559"/>
      <c r="O205" s="2559"/>
      <c r="P205" s="2559"/>
      <c r="Q205" s="2559"/>
      <c r="R205" s="2559"/>
      <c r="S205" s="2559"/>
      <c r="T205" s="2559"/>
      <c r="U205" s="2559"/>
      <c r="V205" s="2559"/>
      <c r="W205" s="2559"/>
      <c r="X205" s="2559"/>
      <c r="Y205" s="2559"/>
      <c r="Z205" s="2559"/>
      <c r="AA205" s="2559"/>
      <c r="AB205" s="2559"/>
      <c r="AC205" s="842"/>
      <c r="AD205" s="2575"/>
      <c r="AE205" s="2575"/>
      <c r="AF205" s="2575"/>
      <c r="AG205" s="2575"/>
      <c r="AH205" s="2575"/>
      <c r="AI205" s="2575"/>
      <c r="AJ205" s="2575"/>
      <c r="AK205" s="608"/>
    </row>
    <row r="206" spans="1:37" hidden="1">
      <c r="A206" s="603"/>
      <c r="B206" s="2559"/>
      <c r="C206" s="2559"/>
      <c r="D206" s="2559"/>
      <c r="E206" s="2559"/>
      <c r="F206" s="2559"/>
      <c r="G206" s="2559"/>
      <c r="H206" s="2559"/>
      <c r="I206" s="2559"/>
      <c r="J206" s="2559"/>
      <c r="K206" s="2559"/>
      <c r="L206" s="2559"/>
      <c r="M206" s="2559"/>
      <c r="N206" s="2559"/>
      <c r="O206" s="2559"/>
      <c r="P206" s="2559"/>
      <c r="Q206" s="2559"/>
      <c r="R206" s="2559"/>
      <c r="S206" s="2559"/>
      <c r="T206" s="2559"/>
      <c r="U206" s="2559"/>
      <c r="V206" s="2559"/>
      <c r="W206" s="2559"/>
      <c r="X206" s="2559"/>
      <c r="Y206" s="2559"/>
      <c r="Z206" s="2559"/>
      <c r="AA206" s="2559"/>
      <c r="AB206" s="2559"/>
      <c r="AC206" s="842"/>
      <c r="AD206" s="2575"/>
      <c r="AE206" s="2575"/>
      <c r="AF206" s="2575"/>
      <c r="AG206" s="2575"/>
      <c r="AH206" s="2575"/>
      <c r="AI206" s="2575"/>
      <c r="AJ206" s="2575"/>
      <c r="AK206" s="608"/>
    </row>
    <row r="207" spans="1:37" hidden="1">
      <c r="A207" s="603"/>
      <c r="B207" s="2559"/>
      <c r="C207" s="2559"/>
      <c r="D207" s="2559"/>
      <c r="E207" s="2559"/>
      <c r="F207" s="2559"/>
      <c r="G207" s="2559"/>
      <c r="H207" s="2559"/>
      <c r="I207" s="2559"/>
      <c r="J207" s="2559"/>
      <c r="K207" s="2559"/>
      <c r="L207" s="2559"/>
      <c r="M207" s="2559"/>
      <c r="N207" s="2559"/>
      <c r="O207" s="2559"/>
      <c r="P207" s="2559"/>
      <c r="Q207" s="2559"/>
      <c r="R207" s="2559"/>
      <c r="S207" s="2559"/>
      <c r="T207" s="2559"/>
      <c r="U207" s="2559"/>
      <c r="V207" s="2559"/>
      <c r="W207" s="2559"/>
      <c r="X207" s="2559"/>
      <c r="Y207" s="2559"/>
      <c r="Z207" s="2559"/>
      <c r="AA207" s="2559"/>
      <c r="AB207" s="2559"/>
      <c r="AC207" s="842"/>
      <c r="AD207" s="2575"/>
      <c r="AE207" s="2575"/>
      <c r="AF207" s="2575"/>
      <c r="AG207" s="2575"/>
      <c r="AH207" s="2575"/>
      <c r="AI207" s="2575"/>
      <c r="AJ207" s="2575"/>
      <c r="AK207" s="608"/>
    </row>
    <row r="208" spans="1:37" hidden="1">
      <c r="A208" s="603"/>
      <c r="B208" s="2568" t="s">
        <v>1615</v>
      </c>
      <c r="C208" s="2568"/>
      <c r="D208" s="2568"/>
      <c r="E208" s="2568"/>
      <c r="F208" s="2568"/>
      <c r="G208" s="2568"/>
      <c r="H208" s="2568"/>
      <c r="I208" s="2568"/>
      <c r="J208" s="2568"/>
      <c r="K208" s="2568"/>
      <c r="L208" s="2568"/>
      <c r="M208" s="2568"/>
      <c r="N208" s="2568"/>
      <c r="O208" s="2568"/>
      <c r="P208" s="2568"/>
      <c r="Q208" s="2568"/>
      <c r="R208" s="2568"/>
      <c r="S208" s="2568"/>
      <c r="T208" s="2568"/>
      <c r="U208" s="2568"/>
      <c r="V208" s="2568"/>
      <c r="W208" s="2568"/>
      <c r="X208" s="2568"/>
      <c r="Y208" s="2568"/>
      <c r="Z208" s="2568"/>
      <c r="AA208" s="2568"/>
      <c r="AB208" s="2568"/>
      <c r="AC208" s="536"/>
      <c r="AD208" s="2573">
        <f>AB259</f>
        <v>0</v>
      </c>
      <c r="AE208" s="2573"/>
      <c r="AF208" s="2573"/>
      <c r="AG208" s="2573"/>
      <c r="AH208" s="2573"/>
      <c r="AI208" s="2573"/>
      <c r="AJ208" s="2573"/>
      <c r="AK208" s="608"/>
    </row>
    <row r="209" spans="1:37" hidden="1">
      <c r="A209" s="603"/>
      <c r="B209" s="2414" t="s">
        <v>1578</v>
      </c>
      <c r="C209" s="2414"/>
      <c r="D209" s="2414"/>
      <c r="E209" s="2414"/>
      <c r="F209" s="2414"/>
      <c r="G209" s="2414"/>
      <c r="H209" s="2414"/>
      <c r="I209" s="2414"/>
      <c r="J209" s="2414"/>
      <c r="K209" s="2414"/>
      <c r="L209" s="2414"/>
      <c r="M209" s="2414"/>
      <c r="N209" s="2414"/>
      <c r="O209" s="2414"/>
      <c r="P209" s="2414"/>
      <c r="Q209" s="2414"/>
      <c r="R209" s="2414"/>
      <c r="S209" s="2414"/>
      <c r="T209" s="2414"/>
      <c r="U209" s="2414"/>
      <c r="V209" s="2414"/>
      <c r="W209" s="2414"/>
      <c r="X209" s="2414"/>
      <c r="Y209" s="2414"/>
      <c r="Z209" s="2414"/>
      <c r="AA209" s="2414"/>
      <c r="AB209" s="2414"/>
      <c r="AC209" s="842"/>
      <c r="AD209" s="2574">
        <f>'Sources and Uses Budget'!B15</f>
        <v>0</v>
      </c>
      <c r="AE209" s="2574"/>
      <c r="AF209" s="2574"/>
      <c r="AG209" s="2574"/>
      <c r="AH209" s="2574"/>
      <c r="AI209" s="2574"/>
      <c r="AJ209" s="2574"/>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9">
        <f>SUM(AD198:AJ208)-AD209</f>
        <v>0</v>
      </c>
      <c r="AE210" s="2579"/>
      <c r="AF210" s="2579"/>
      <c r="AG210" s="2579"/>
      <c r="AH210" s="2579"/>
      <c r="AI210" s="2579"/>
      <c r="AJ210" s="257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2" t="s">
        <v>1595</v>
      </c>
      <c r="J221" s="2602"/>
      <c r="K221" s="2602"/>
      <c r="L221" s="536"/>
      <c r="M221" s="536"/>
      <c r="N221" s="536"/>
      <c r="O221" s="536"/>
      <c r="P221" s="536"/>
      <c r="Q221" s="536"/>
      <c r="R221" s="536"/>
      <c r="S221" s="536"/>
      <c r="T221" s="2428" t="s">
        <v>1589</v>
      </c>
      <c r="U221" s="2428"/>
      <c r="V221" s="2428"/>
      <c r="W221" s="2428"/>
      <c r="X221" s="2428"/>
      <c r="Y221" s="2428"/>
      <c r="Z221" s="845"/>
      <c r="AA221" s="489"/>
      <c r="AB221" s="2592" t="s">
        <v>1590</v>
      </c>
      <c r="AC221" s="2592"/>
      <c r="AD221" s="2592"/>
      <c r="AE221" s="2592"/>
      <c r="AF221" s="2592"/>
      <c r="AG221" s="2592"/>
      <c r="AH221" s="823"/>
      <c r="AI221" s="823"/>
      <c r="AJ221" s="823"/>
      <c r="AK221" s="608"/>
    </row>
    <row r="222" spans="1:37" hidden="1">
      <c r="A222" s="603"/>
      <c r="B222" s="2600" t="s">
        <v>1575</v>
      </c>
      <c r="C222" s="2600"/>
      <c r="D222" s="2600"/>
      <c r="E222" s="2600"/>
      <c r="F222" s="2600"/>
      <c r="G222" s="2600"/>
      <c r="I222" s="2601" t="s">
        <v>1596</v>
      </c>
      <c r="J222" s="2601"/>
      <c r="K222" s="2601"/>
      <c r="L222" s="1003"/>
      <c r="N222" s="2415" t="s">
        <v>1591</v>
      </c>
      <c r="O222" s="2415"/>
      <c r="P222" s="2415"/>
      <c r="Q222" s="2415"/>
      <c r="R222" s="2415"/>
      <c r="T222" s="2415" t="s">
        <v>1592</v>
      </c>
      <c r="U222" s="2415"/>
      <c r="V222" s="2415"/>
      <c r="W222" s="2415"/>
      <c r="X222" s="2415"/>
      <c r="Y222" s="2415"/>
      <c r="Z222" s="846"/>
      <c r="AA222" s="489"/>
      <c r="AB222" s="2471" t="s">
        <v>1593</v>
      </c>
      <c r="AC222" s="2471"/>
      <c r="AD222" s="2471"/>
      <c r="AE222" s="2471"/>
      <c r="AF222" s="2471"/>
      <c r="AG222" s="2471"/>
      <c r="AH222" s="823"/>
      <c r="AI222" s="823"/>
      <c r="AJ222" s="823"/>
      <c r="AK222" s="608"/>
    </row>
    <row r="223" spans="1:37" hidden="1">
      <c r="A223" s="603"/>
      <c r="B223" s="2472" t="s">
        <v>1183</v>
      </c>
      <c r="C223" s="2472"/>
      <c r="D223" s="2472"/>
      <c r="E223" s="2472"/>
      <c r="F223" s="2472"/>
      <c r="G223" s="2472"/>
      <c r="H223" s="848"/>
      <c r="I223" s="2431"/>
      <c r="J223" s="2431"/>
      <c r="K223" s="2431"/>
      <c r="L223" s="1003"/>
      <c r="N223" s="2429"/>
      <c r="O223" s="2429"/>
      <c r="P223" s="2429"/>
      <c r="Q223" s="2429"/>
      <c r="R223" s="2429"/>
      <c r="T223" s="2411"/>
      <c r="U223" s="2411"/>
      <c r="V223" s="2411"/>
      <c r="W223" s="2411"/>
      <c r="X223" s="2411"/>
      <c r="Y223" s="2411"/>
      <c r="Z223" s="847"/>
      <c r="AA223" s="847"/>
      <c r="AB223" s="2409">
        <f t="shared" ref="AB223:AB232" si="0">MAX(($T223-$N223)*$I223*12,0)</f>
        <v>0</v>
      </c>
      <c r="AC223" s="2409"/>
      <c r="AD223" s="2409"/>
      <c r="AE223" s="2409"/>
      <c r="AF223" s="2409"/>
      <c r="AG223" s="2409"/>
      <c r="AH223" s="823"/>
      <c r="AI223" s="823"/>
      <c r="AJ223" s="823"/>
      <c r="AK223" s="608"/>
    </row>
    <row r="224" spans="1:37" hidden="1">
      <c r="A224" s="603"/>
      <c r="B224" s="2472" t="s">
        <v>1183</v>
      </c>
      <c r="C224" s="2472"/>
      <c r="D224" s="2472"/>
      <c r="E224" s="2472"/>
      <c r="F224" s="2472"/>
      <c r="G224" s="2472"/>
      <c r="I224" s="2431"/>
      <c r="J224" s="2431"/>
      <c r="K224" s="2431"/>
      <c r="L224" s="1003"/>
      <c r="N224" s="2429"/>
      <c r="O224" s="2429"/>
      <c r="P224" s="2429"/>
      <c r="Q224" s="2429"/>
      <c r="R224" s="2429"/>
      <c r="T224" s="2411"/>
      <c r="U224" s="2411"/>
      <c r="V224" s="2411"/>
      <c r="W224" s="2411"/>
      <c r="X224" s="2411"/>
      <c r="Y224" s="2411"/>
      <c r="Z224" s="847"/>
      <c r="AA224" s="847"/>
      <c r="AB224" s="2409">
        <f t="shared" si="0"/>
        <v>0</v>
      </c>
      <c r="AC224" s="2409"/>
      <c r="AD224" s="2409"/>
      <c r="AE224" s="2409"/>
      <c r="AF224" s="2409"/>
      <c r="AG224" s="2409"/>
      <c r="AH224" s="823"/>
      <c r="AI224" s="823"/>
      <c r="AJ224" s="823"/>
      <c r="AK224" s="608"/>
    </row>
    <row r="225" spans="1:37" hidden="1">
      <c r="A225" s="603"/>
      <c r="B225" s="2472" t="s">
        <v>1183</v>
      </c>
      <c r="C225" s="2472"/>
      <c r="D225" s="2472"/>
      <c r="E225" s="2472"/>
      <c r="F225" s="2472"/>
      <c r="G225" s="2472"/>
      <c r="I225" s="2431"/>
      <c r="J225" s="2431"/>
      <c r="K225" s="2431"/>
      <c r="L225" s="1003"/>
      <c r="N225" s="2429"/>
      <c r="O225" s="2429"/>
      <c r="P225" s="2429"/>
      <c r="Q225" s="2429"/>
      <c r="R225" s="2429"/>
      <c r="T225" s="2411"/>
      <c r="U225" s="2411"/>
      <c r="V225" s="2411"/>
      <c r="W225" s="2411"/>
      <c r="X225" s="2411"/>
      <c r="Y225" s="2411"/>
      <c r="Z225" s="847"/>
      <c r="AA225" s="847"/>
      <c r="AB225" s="2409">
        <f t="shared" si="0"/>
        <v>0</v>
      </c>
      <c r="AC225" s="2409"/>
      <c r="AD225" s="2409"/>
      <c r="AE225" s="2409"/>
      <c r="AF225" s="2409"/>
      <c r="AG225" s="2409"/>
      <c r="AH225" s="823"/>
      <c r="AI225" s="823"/>
      <c r="AJ225" s="823"/>
      <c r="AK225" s="608"/>
    </row>
    <row r="226" spans="1:37" hidden="1">
      <c r="A226" s="603"/>
      <c r="B226" s="2472" t="s">
        <v>1183</v>
      </c>
      <c r="C226" s="2472"/>
      <c r="D226" s="2472"/>
      <c r="E226" s="2472"/>
      <c r="F226" s="2472"/>
      <c r="G226" s="2472"/>
      <c r="I226" s="2431"/>
      <c r="J226" s="2431"/>
      <c r="K226" s="2431"/>
      <c r="L226" s="1003"/>
      <c r="N226" s="2429"/>
      <c r="O226" s="2429"/>
      <c r="P226" s="2429"/>
      <c r="Q226" s="2429"/>
      <c r="R226" s="2429"/>
      <c r="T226" s="2411"/>
      <c r="U226" s="2411"/>
      <c r="V226" s="2411"/>
      <c r="W226" s="2411"/>
      <c r="X226" s="2411"/>
      <c r="Y226" s="2411"/>
      <c r="Z226" s="847"/>
      <c r="AA226" s="847"/>
      <c r="AB226" s="2409">
        <f t="shared" si="0"/>
        <v>0</v>
      </c>
      <c r="AC226" s="2409"/>
      <c r="AD226" s="2409"/>
      <c r="AE226" s="2409"/>
      <c r="AF226" s="2409"/>
      <c r="AG226" s="2409"/>
      <c r="AH226" s="823"/>
      <c r="AI226" s="823"/>
      <c r="AJ226" s="823"/>
      <c r="AK226" s="608"/>
    </row>
    <row r="227" spans="1:37" hidden="1">
      <c r="A227" s="603"/>
      <c r="B227" s="2472" t="s">
        <v>1183</v>
      </c>
      <c r="C227" s="2472"/>
      <c r="D227" s="2472"/>
      <c r="E227" s="2472"/>
      <c r="F227" s="2472"/>
      <c r="G227" s="2472"/>
      <c r="I227" s="2431"/>
      <c r="J227" s="2431"/>
      <c r="K227" s="2431"/>
      <c r="L227" s="1010"/>
      <c r="N227" s="2429"/>
      <c r="O227" s="2429"/>
      <c r="P227" s="2429"/>
      <c r="Q227" s="2429"/>
      <c r="R227" s="2429"/>
      <c r="T227" s="2411"/>
      <c r="U227" s="2411"/>
      <c r="V227" s="2411"/>
      <c r="W227" s="2411"/>
      <c r="X227" s="2411"/>
      <c r="Y227" s="2411"/>
      <c r="Z227" s="847"/>
      <c r="AA227" s="847"/>
      <c r="AB227" s="2409">
        <f t="shared" si="0"/>
        <v>0</v>
      </c>
      <c r="AC227" s="2409"/>
      <c r="AD227" s="2409"/>
      <c r="AE227" s="2409"/>
      <c r="AF227" s="2409"/>
      <c r="AG227" s="2409"/>
      <c r="AH227" s="823"/>
      <c r="AI227" s="823"/>
      <c r="AJ227" s="823"/>
      <c r="AK227" s="608"/>
    </row>
    <row r="228" spans="1:37" hidden="1">
      <c r="A228" s="603"/>
      <c r="B228" s="2472" t="s">
        <v>1183</v>
      </c>
      <c r="C228" s="2472"/>
      <c r="D228" s="2472"/>
      <c r="E228" s="2472"/>
      <c r="F228" s="2472"/>
      <c r="G228" s="2472"/>
      <c r="I228" s="2431"/>
      <c r="J228" s="2431"/>
      <c r="K228" s="2431"/>
      <c r="L228" s="1010"/>
      <c r="N228" s="2429"/>
      <c r="O228" s="2429"/>
      <c r="P228" s="2429"/>
      <c r="Q228" s="2429"/>
      <c r="R228" s="2429"/>
      <c r="T228" s="2411"/>
      <c r="U228" s="2411"/>
      <c r="V228" s="2411"/>
      <c r="W228" s="2411"/>
      <c r="X228" s="2411"/>
      <c r="Y228" s="2411"/>
      <c r="Z228" s="847"/>
      <c r="AA228" s="847"/>
      <c r="AB228" s="2409">
        <f t="shared" si="0"/>
        <v>0</v>
      </c>
      <c r="AC228" s="2409"/>
      <c r="AD228" s="2409"/>
      <c r="AE228" s="2409"/>
      <c r="AF228" s="2409"/>
      <c r="AG228" s="2409"/>
      <c r="AH228" s="823"/>
      <c r="AI228" s="823"/>
      <c r="AJ228" s="823"/>
      <c r="AK228" s="608"/>
    </row>
    <row r="229" spans="1:37" hidden="1">
      <c r="A229" s="603"/>
      <c r="B229" s="2472" t="s">
        <v>1183</v>
      </c>
      <c r="C229" s="2472"/>
      <c r="D229" s="2472"/>
      <c r="E229" s="2472"/>
      <c r="F229" s="2472"/>
      <c r="G229" s="2472"/>
      <c r="I229" s="2431"/>
      <c r="J229" s="2431"/>
      <c r="K229" s="2431"/>
      <c r="L229" s="1010"/>
      <c r="N229" s="2429"/>
      <c r="O229" s="2429"/>
      <c r="P229" s="2429"/>
      <c r="Q229" s="2429"/>
      <c r="R229" s="2429"/>
      <c r="T229" s="2411"/>
      <c r="U229" s="2411"/>
      <c r="V229" s="2411"/>
      <c r="W229" s="2411"/>
      <c r="X229" s="2411"/>
      <c r="Y229" s="2411"/>
      <c r="Z229" s="847"/>
      <c r="AA229" s="847"/>
      <c r="AB229" s="2409">
        <f t="shared" si="0"/>
        <v>0</v>
      </c>
      <c r="AC229" s="2409"/>
      <c r="AD229" s="2409"/>
      <c r="AE229" s="2409"/>
      <c r="AF229" s="2409"/>
      <c r="AG229" s="2409"/>
      <c r="AH229" s="823"/>
      <c r="AI229" s="823"/>
      <c r="AJ229" s="823"/>
      <c r="AK229" s="608"/>
    </row>
    <row r="230" spans="1:37" hidden="1">
      <c r="A230" s="603"/>
      <c r="B230" s="2472" t="s">
        <v>1183</v>
      </c>
      <c r="C230" s="2472"/>
      <c r="D230" s="2472"/>
      <c r="E230" s="2472"/>
      <c r="F230" s="2472"/>
      <c r="G230" s="2472"/>
      <c r="I230" s="2431"/>
      <c r="J230" s="2431"/>
      <c r="K230" s="2431"/>
      <c r="L230" s="1010"/>
      <c r="N230" s="2429"/>
      <c r="O230" s="2429"/>
      <c r="P230" s="2429"/>
      <c r="Q230" s="2429"/>
      <c r="R230" s="2429"/>
      <c r="T230" s="2411"/>
      <c r="U230" s="2411"/>
      <c r="V230" s="2411"/>
      <c r="W230" s="2411"/>
      <c r="X230" s="2411"/>
      <c r="Y230" s="2411"/>
      <c r="Z230" s="847"/>
      <c r="AA230" s="847"/>
      <c r="AB230" s="2409">
        <f t="shared" si="0"/>
        <v>0</v>
      </c>
      <c r="AC230" s="2409"/>
      <c r="AD230" s="2409"/>
      <c r="AE230" s="2409"/>
      <c r="AF230" s="2409"/>
      <c r="AG230" s="2409"/>
      <c r="AH230" s="823"/>
      <c r="AI230" s="823"/>
      <c r="AJ230" s="823"/>
      <c r="AK230" s="608"/>
    </row>
    <row r="231" spans="1:37" hidden="1">
      <c r="A231" s="603"/>
      <c r="B231" s="2472" t="s">
        <v>1183</v>
      </c>
      <c r="C231" s="2472"/>
      <c r="D231" s="2472"/>
      <c r="E231" s="2472"/>
      <c r="F231" s="2472"/>
      <c r="G231" s="2472"/>
      <c r="I231" s="2431"/>
      <c r="J231" s="2431"/>
      <c r="K231" s="2431"/>
      <c r="L231" s="1010"/>
      <c r="N231" s="2429"/>
      <c r="O231" s="2429"/>
      <c r="P231" s="2429"/>
      <c r="Q231" s="2429"/>
      <c r="R231" s="2429"/>
      <c r="T231" s="2411"/>
      <c r="U231" s="2411"/>
      <c r="V231" s="2411"/>
      <c r="W231" s="2411"/>
      <c r="X231" s="2411"/>
      <c r="Y231" s="2411"/>
      <c r="Z231" s="847"/>
      <c r="AA231" s="847"/>
      <c r="AB231" s="2409">
        <f t="shared" si="0"/>
        <v>0</v>
      </c>
      <c r="AC231" s="2409"/>
      <c r="AD231" s="2409"/>
      <c r="AE231" s="2409"/>
      <c r="AF231" s="2409"/>
      <c r="AG231" s="2409"/>
      <c r="AH231" s="823"/>
      <c r="AI231" s="823"/>
      <c r="AJ231" s="823"/>
      <c r="AK231" s="608"/>
    </row>
    <row r="232" spans="1:37" hidden="1">
      <c r="A232" s="603"/>
      <c r="B232" s="2472" t="s">
        <v>1183</v>
      </c>
      <c r="C232" s="2472"/>
      <c r="D232" s="2472"/>
      <c r="E232" s="2472"/>
      <c r="F232" s="2472"/>
      <c r="G232" s="2472"/>
      <c r="I232" s="2603"/>
      <c r="J232" s="2603"/>
      <c r="K232" s="2603"/>
      <c r="L232" s="1010"/>
      <c r="N232" s="2429"/>
      <c r="O232" s="2429"/>
      <c r="P232" s="2429"/>
      <c r="Q232" s="2429"/>
      <c r="R232" s="2429"/>
      <c r="T232" s="2411"/>
      <c r="U232" s="2411"/>
      <c r="V232" s="2411"/>
      <c r="W232" s="2411"/>
      <c r="X232" s="2411"/>
      <c r="Y232" s="2411"/>
      <c r="Z232" s="847"/>
      <c r="AA232" s="847"/>
      <c r="AB232" s="2410">
        <f t="shared" si="0"/>
        <v>0</v>
      </c>
      <c r="AC232" s="2410"/>
      <c r="AD232" s="2410"/>
      <c r="AE232" s="2410"/>
      <c r="AF232" s="2410"/>
      <c r="AG232" s="2410"/>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9">
        <f>SUM(AB223:AB232)</f>
        <v>0</v>
      </c>
      <c r="AC233" s="2409"/>
      <c r="AD233" s="2409"/>
      <c r="AE233" s="2409"/>
      <c r="AF233" s="2409"/>
      <c r="AG233" s="2409"/>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4"/>
      <c r="AC239" s="2444"/>
      <c r="AD239" s="2444"/>
      <c r="AE239" s="2444"/>
      <c r="AF239" s="2444"/>
      <c r="AG239" s="2444"/>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4"/>
      <c r="AC242" s="2444"/>
      <c r="AD242" s="2444"/>
      <c r="AE242" s="2444"/>
      <c r="AF242" s="2444"/>
      <c r="AG242" s="2444"/>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7"/>
      <c r="AC243" s="2427"/>
      <c r="AD243" s="2427"/>
      <c r="AE243" s="2427"/>
      <c r="AF243" s="2427"/>
      <c r="AG243" s="2427"/>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2">
        <f>IFERROR(AB242/AB243,0)</f>
        <v>0</v>
      </c>
      <c r="AC244" s="2412"/>
      <c r="AD244" s="2412"/>
      <c r="AE244" s="2412"/>
      <c r="AF244" s="2412"/>
      <c r="AG244" s="2412"/>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0">
        <f>MAX(AB239,AB244)</f>
        <v>0</v>
      </c>
      <c r="AC246" s="2410"/>
      <c r="AD246" s="2410"/>
      <c r="AE246" s="2410"/>
      <c r="AF246" s="2410"/>
      <c r="AG246" s="2410"/>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9">
        <f>AB233+AB246</f>
        <v>0</v>
      </c>
      <c r="AC249" s="2409"/>
      <c r="AD249" s="2409"/>
      <c r="AE249" s="2409"/>
      <c r="AF249" s="2409"/>
      <c r="AG249" s="2409"/>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3">
        <v>0.05</v>
      </c>
      <c r="AC250" s="2583"/>
      <c r="AD250" s="2583"/>
      <c r="AE250" s="2583"/>
      <c r="AF250" s="2583"/>
      <c r="AG250" s="2583"/>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4">
        <f>AB249-(AB249*AB250)</f>
        <v>0</v>
      </c>
      <c r="AC251" s="2584"/>
      <c r="AD251" s="2584"/>
      <c r="AE251" s="2584"/>
      <c r="AF251" s="2584"/>
      <c r="AG251" s="2584"/>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9">
        <f>AB251/AB257</f>
        <v>0</v>
      </c>
      <c r="AC253" s="2409"/>
      <c r="AD253" s="2409"/>
      <c r="AE253" s="2409"/>
      <c r="AF253" s="2409"/>
      <c r="AG253" s="2409"/>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2">
        <v>15</v>
      </c>
      <c r="AC255" s="2592"/>
      <c r="AD255" s="2592"/>
      <c r="AE255" s="2592"/>
      <c r="AF255" s="2592"/>
      <c r="AG255" s="2592"/>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0">
        <v>0.04</v>
      </c>
      <c r="AC256" s="2560"/>
      <c r="AD256" s="2560"/>
      <c r="AE256" s="2560"/>
      <c r="AF256" s="2560"/>
      <c r="AG256" s="2560"/>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9">
        <v>1.1499999999999999</v>
      </c>
      <c r="AC257" s="2569"/>
      <c r="AD257" s="2569"/>
      <c r="AE257" s="2569"/>
      <c r="AF257" s="2569"/>
      <c r="AG257" s="2569"/>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6">
        <f>PV(AB256/12,AB255*12,-AB253/12, ,0)</f>
        <v>0</v>
      </c>
      <c r="AC259" s="2577"/>
      <c r="AD259" s="2577"/>
      <c r="AE259" s="2577"/>
      <c r="AF259" s="2577"/>
      <c r="AG259" s="2578"/>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0">
        <f>IFERROR(('Sources and Uses Budget'!D105/'Sources and Uses Budget'!B105),0)</f>
        <v>0</v>
      </c>
      <c r="AC265" s="2581"/>
      <c r="AD265" s="2581"/>
      <c r="AE265" s="2581"/>
      <c r="AF265" s="2581"/>
      <c r="AG265" s="258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7">
        <f>AD210*(1-AB265)</f>
        <v>0</v>
      </c>
      <c r="AH267" s="2437"/>
      <c r="AI267" s="2437"/>
      <c r="AJ267" s="2437"/>
      <c r="AK267" s="2437"/>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7">
        <f>'Sources and Uses Budget'!C105</f>
        <v>57263747</v>
      </c>
      <c r="AH268" s="2437"/>
      <c r="AI268" s="2437"/>
      <c r="AJ268" s="2437"/>
      <c r="AK268" s="2437"/>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2">
        <f>ROUNDDOWN(IF(AND(C305="Yes",AK83=10),((AG267*2)/AG268),AG267/AG268),2)</f>
        <v>0</v>
      </c>
      <c r="AH269" s="2572"/>
      <c r="AI269" s="2572"/>
      <c r="AJ269" s="2572"/>
      <c r="AK269" s="2572"/>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62">
        <f>IFERROR(IF(AG269=0,0,IF((AG269*100)&gt;8,8,(AG269*100))),0)</f>
        <v>0</v>
      </c>
      <c r="AL272" s="2562"/>
      <c r="AM272" s="2563"/>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2577</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3" t="s">
        <v>545</v>
      </c>
      <c r="D279" s="2413"/>
      <c r="E279" s="546"/>
      <c r="F279" s="2400" t="s">
        <v>2569</v>
      </c>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49"/>
      <c r="AF279" s="633"/>
      <c r="AG279" s="2570" t="s">
        <v>1356</v>
      </c>
      <c r="AH279" s="2570"/>
      <c r="AI279" s="2570"/>
      <c r="AJ279" s="2570"/>
      <c r="AK279" s="549"/>
      <c r="AL279" s="549"/>
      <c r="AM279" s="549"/>
      <c r="AO279" s="549"/>
    </row>
    <row r="280" spans="1:52" ht="13.7" customHeight="1">
      <c r="A280" s="549"/>
      <c r="B280" s="594"/>
      <c r="C280" s="634"/>
      <c r="D280" s="549"/>
      <c r="E280" s="546"/>
      <c r="F280" s="2403"/>
      <c r="G280" s="2404"/>
      <c r="H280" s="2404"/>
      <c r="I280" s="2404"/>
      <c r="J280" s="2404"/>
      <c r="K280" s="2404"/>
      <c r="L280" s="2404"/>
      <c r="M280" s="2404"/>
      <c r="N280" s="2404"/>
      <c r="O280" s="2404"/>
      <c r="P280" s="2404"/>
      <c r="Q280" s="2404"/>
      <c r="R280" s="2404"/>
      <c r="S280" s="2404"/>
      <c r="T280" s="2404"/>
      <c r="U280" s="2404"/>
      <c r="V280" s="2404"/>
      <c r="W280" s="2404"/>
      <c r="X280" s="2404"/>
      <c r="Y280" s="2404"/>
      <c r="Z280" s="2404"/>
      <c r="AA280" s="2404"/>
      <c r="AB280" s="2404"/>
      <c r="AC280" s="2404"/>
      <c r="AD280" s="2405"/>
      <c r="AE280" s="549"/>
      <c r="AF280" s="633"/>
      <c r="AG280" s="633"/>
      <c r="AH280" s="633"/>
      <c r="AI280" s="633"/>
      <c r="AJ280" s="549"/>
      <c r="AK280" s="549"/>
      <c r="AL280" s="549"/>
      <c r="AM280" s="549"/>
      <c r="AO280" s="549"/>
    </row>
    <row r="281" spans="1:52" ht="13.7" customHeight="1">
      <c r="A281" s="549"/>
      <c r="B281" s="594"/>
      <c r="C281" s="634"/>
      <c r="D281" s="549"/>
      <c r="E281" s="546"/>
      <c r="F281" s="2403"/>
      <c r="G281" s="2404"/>
      <c r="H281" s="2404"/>
      <c r="I281" s="2404"/>
      <c r="J281" s="2404"/>
      <c r="K281" s="2404"/>
      <c r="L281" s="2404"/>
      <c r="M281" s="2404"/>
      <c r="N281" s="2404"/>
      <c r="O281" s="2404"/>
      <c r="P281" s="2404"/>
      <c r="Q281" s="2404"/>
      <c r="R281" s="2404"/>
      <c r="S281" s="2404"/>
      <c r="T281" s="2404"/>
      <c r="U281" s="2404"/>
      <c r="V281" s="2404"/>
      <c r="W281" s="2404"/>
      <c r="X281" s="2404"/>
      <c r="Y281" s="2404"/>
      <c r="Z281" s="2404"/>
      <c r="AA281" s="2404"/>
      <c r="AB281" s="2404"/>
      <c r="AC281" s="2404"/>
      <c r="AD281" s="2405"/>
      <c r="AE281" s="549"/>
      <c r="AF281" s="633"/>
      <c r="AG281" s="633"/>
      <c r="AH281" s="633"/>
      <c r="AI281" s="633"/>
      <c r="AJ281" s="549"/>
      <c r="AK281" s="549"/>
      <c r="AL281" s="549"/>
      <c r="AM281" s="549"/>
      <c r="AO281" s="549"/>
    </row>
    <row r="282" spans="1:52" ht="13.7" customHeight="1">
      <c r="A282" s="549"/>
      <c r="B282" s="594"/>
      <c r="C282" s="634"/>
      <c r="D282" s="549"/>
      <c r="E282" s="546"/>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49"/>
      <c r="AF282" s="633"/>
      <c r="AG282" s="633"/>
      <c r="AH282" s="633"/>
      <c r="AI282" s="633"/>
      <c r="AJ282" s="549"/>
      <c r="AK282" s="549"/>
      <c r="AL282" s="549"/>
      <c r="AM282" s="549"/>
      <c r="AO282" s="549"/>
    </row>
    <row r="283" spans="1:52" ht="13.7" customHeight="1">
      <c r="A283" s="549"/>
      <c r="B283" s="594"/>
      <c r="C283" s="634"/>
      <c r="D283" s="549"/>
      <c r="E283" s="546"/>
      <c r="F283" s="2403"/>
      <c r="G283" s="2404"/>
      <c r="H283" s="2404"/>
      <c r="I283" s="2404"/>
      <c r="J283" s="2404"/>
      <c r="K283" s="2404"/>
      <c r="L283" s="2404"/>
      <c r="M283" s="2404"/>
      <c r="N283" s="2404"/>
      <c r="O283" s="2404"/>
      <c r="P283" s="2404"/>
      <c r="Q283" s="2404"/>
      <c r="R283" s="2404"/>
      <c r="S283" s="2404"/>
      <c r="T283" s="2404"/>
      <c r="U283" s="2404"/>
      <c r="V283" s="2404"/>
      <c r="W283" s="2404"/>
      <c r="X283" s="2404"/>
      <c r="Y283" s="2404"/>
      <c r="Z283" s="2404"/>
      <c r="AA283" s="2404"/>
      <c r="AB283" s="2404"/>
      <c r="AC283" s="2404"/>
      <c r="AD283" s="2405"/>
      <c r="AE283" s="549"/>
      <c r="AF283" s="633"/>
      <c r="AG283" s="633"/>
      <c r="AH283" s="633"/>
      <c r="AI283" s="633"/>
      <c r="AJ283" s="549"/>
      <c r="AK283" s="549"/>
      <c r="AL283" s="549"/>
      <c r="AM283" s="549"/>
      <c r="AO283" s="549"/>
    </row>
    <row r="284" spans="1:52">
      <c r="A284" s="549"/>
      <c r="B284" s="594"/>
      <c r="C284" s="634"/>
      <c r="D284" s="549"/>
      <c r="E284" s="546"/>
      <c r="F284" s="2403"/>
      <c r="G284" s="2404"/>
      <c r="H284" s="2404"/>
      <c r="I284" s="2404"/>
      <c r="J284" s="2404"/>
      <c r="K284" s="2404"/>
      <c r="L284" s="2404"/>
      <c r="M284" s="2404"/>
      <c r="N284" s="2404"/>
      <c r="O284" s="2404"/>
      <c r="P284" s="2404"/>
      <c r="Q284" s="2404"/>
      <c r="R284" s="2404"/>
      <c r="S284" s="2404"/>
      <c r="T284" s="2404"/>
      <c r="U284" s="2404"/>
      <c r="V284" s="2404"/>
      <c r="W284" s="2404"/>
      <c r="X284" s="2404"/>
      <c r="Y284" s="2404"/>
      <c r="Z284" s="2404"/>
      <c r="AA284" s="2404"/>
      <c r="AB284" s="2404"/>
      <c r="AC284" s="2404"/>
      <c r="AD284" s="2405"/>
      <c r="AE284" s="549"/>
      <c r="AF284" s="633"/>
      <c r="AG284" s="633"/>
      <c r="AH284" s="633"/>
      <c r="AI284" s="633"/>
      <c r="AJ284" s="549"/>
      <c r="AK284" s="549"/>
      <c r="AL284" s="549"/>
      <c r="AM284" s="549"/>
      <c r="AO284" s="549"/>
      <c r="AP284" s="635"/>
    </row>
    <row r="285" spans="1:52">
      <c r="A285" s="549"/>
      <c r="B285" s="594"/>
      <c r="C285" s="634"/>
      <c r="D285" s="549"/>
      <c r="E285" s="546"/>
      <c r="F285" s="2403"/>
      <c r="G285" s="2404"/>
      <c r="H285" s="2404"/>
      <c r="I285" s="2404"/>
      <c r="J285" s="2404"/>
      <c r="K285" s="2404"/>
      <c r="L285" s="2404"/>
      <c r="M285" s="2404"/>
      <c r="N285" s="2404"/>
      <c r="O285" s="2404"/>
      <c r="P285" s="2404"/>
      <c r="Q285" s="2404"/>
      <c r="R285" s="2404"/>
      <c r="S285" s="2404"/>
      <c r="T285" s="2404"/>
      <c r="U285" s="2404"/>
      <c r="V285" s="2404"/>
      <c r="W285" s="2404"/>
      <c r="X285" s="2404"/>
      <c r="Y285" s="2404"/>
      <c r="Z285" s="2404"/>
      <c r="AA285" s="2404"/>
      <c r="AB285" s="2404"/>
      <c r="AC285" s="2404"/>
      <c r="AD285" s="2405"/>
      <c r="AE285" s="549"/>
      <c r="AF285" s="633"/>
      <c r="AG285" s="633"/>
      <c r="AH285" s="633"/>
      <c r="AI285" s="633"/>
      <c r="AJ285" s="549"/>
      <c r="AK285" s="549"/>
      <c r="AL285" s="549"/>
      <c r="AM285" s="549"/>
      <c r="AO285" s="549"/>
      <c r="AP285" s="635"/>
    </row>
    <row r="286" spans="1:52" ht="13.7" customHeight="1">
      <c r="A286" s="549"/>
      <c r="B286" s="594"/>
      <c r="C286" s="2571"/>
      <c r="D286" s="2571"/>
      <c r="E286" s="546"/>
      <c r="F286" s="2406"/>
      <c r="G286" s="2407"/>
      <c r="H286" s="2407"/>
      <c r="I286" s="2407"/>
      <c r="J286" s="2407"/>
      <c r="K286" s="2407"/>
      <c r="L286" s="2407"/>
      <c r="M286" s="2407"/>
      <c r="N286" s="2407"/>
      <c r="O286" s="2407"/>
      <c r="P286" s="2407"/>
      <c r="Q286" s="2407"/>
      <c r="R286" s="2407"/>
      <c r="S286" s="2407"/>
      <c r="T286" s="2407"/>
      <c r="U286" s="2407"/>
      <c r="V286" s="2407"/>
      <c r="W286" s="2407"/>
      <c r="X286" s="2407"/>
      <c r="Y286" s="2407"/>
      <c r="Z286" s="2407"/>
      <c r="AA286" s="2407"/>
      <c r="AB286" s="2407"/>
      <c r="AC286" s="2407"/>
      <c r="AD286" s="2408"/>
      <c r="AE286" s="549"/>
      <c r="AF286" s="633"/>
      <c r="AG286" s="2570"/>
      <c r="AH286" s="2570"/>
      <c r="AI286" s="2570"/>
      <c r="AJ286" s="2570"/>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2" t="s">
        <v>2576</v>
      </c>
      <c r="C289" s="2442"/>
      <c r="D289" s="2442"/>
      <c r="E289" s="2442"/>
      <c r="F289" s="2442"/>
      <c r="G289" s="2442"/>
      <c r="H289" s="2442"/>
      <c r="I289" s="2442"/>
      <c r="J289" s="2442"/>
      <c r="K289" s="2442"/>
      <c r="L289" s="2442"/>
      <c r="M289" s="2442"/>
      <c r="N289" s="2442"/>
      <c r="O289" s="2442"/>
      <c r="P289" s="2442"/>
      <c r="Q289" s="2442"/>
      <c r="R289" s="2442"/>
      <c r="S289" s="2442"/>
      <c r="T289" s="2442"/>
      <c r="U289" s="2442"/>
      <c r="V289" s="2442"/>
      <c r="W289" s="2442"/>
      <c r="X289" s="2442"/>
      <c r="Y289" s="2442"/>
      <c r="Z289" s="2442"/>
      <c r="AA289" s="2442"/>
      <c r="AB289" s="2442"/>
      <c r="AC289" s="2442"/>
      <c r="AD289" s="2442"/>
      <c r="AE289" s="2442"/>
      <c r="AF289" s="2442"/>
      <c r="AG289" s="2442"/>
      <c r="AH289" s="2442"/>
      <c r="AI289" s="2442"/>
      <c r="AJ289" s="2442"/>
      <c r="AK289" s="2442"/>
      <c r="AL289" s="2442"/>
      <c r="AM289" s="549"/>
      <c r="AN289" s="73"/>
    </row>
    <row r="290" spans="1:49">
      <c r="A290" s="549"/>
      <c r="B290" s="2442"/>
      <c r="C290" s="2442"/>
      <c r="D290" s="2442"/>
      <c r="E290" s="2442"/>
      <c r="F290" s="2442"/>
      <c r="G290" s="2442"/>
      <c r="H290" s="2442"/>
      <c r="I290" s="2442"/>
      <c r="J290" s="2442"/>
      <c r="K290" s="2442"/>
      <c r="L290" s="2442"/>
      <c r="M290" s="2442"/>
      <c r="N290" s="2442"/>
      <c r="O290" s="2442"/>
      <c r="P290" s="2442"/>
      <c r="Q290" s="2442"/>
      <c r="R290" s="2442"/>
      <c r="S290" s="2442"/>
      <c r="T290" s="2442"/>
      <c r="U290" s="2442"/>
      <c r="V290" s="2442"/>
      <c r="W290" s="2442"/>
      <c r="X290" s="2442"/>
      <c r="Y290" s="2442"/>
      <c r="Z290" s="2442"/>
      <c r="AA290" s="2442"/>
      <c r="AB290" s="2442"/>
      <c r="AC290" s="2442"/>
      <c r="AD290" s="2442"/>
      <c r="AE290" s="2442"/>
      <c r="AF290" s="2442"/>
      <c r="AG290" s="2442"/>
      <c r="AH290" s="2442"/>
      <c r="AI290" s="2442"/>
      <c r="AJ290" s="2442"/>
      <c r="AK290" s="2442"/>
      <c r="AL290" s="2442"/>
      <c r="AM290" s="549"/>
      <c r="AN290" s="73"/>
    </row>
    <row r="291" spans="1:49">
      <c r="A291" s="549"/>
      <c r="B291" s="2442"/>
      <c r="C291" s="2442"/>
      <c r="D291" s="2442"/>
      <c r="E291" s="2442"/>
      <c r="F291" s="2442"/>
      <c r="G291" s="2442"/>
      <c r="H291" s="2442"/>
      <c r="I291" s="2442"/>
      <c r="J291" s="2442"/>
      <c r="K291" s="2442"/>
      <c r="L291" s="2442"/>
      <c r="M291" s="2442"/>
      <c r="N291" s="2442"/>
      <c r="O291" s="2442"/>
      <c r="P291" s="2442"/>
      <c r="Q291" s="2442"/>
      <c r="R291" s="2442"/>
      <c r="S291" s="2442"/>
      <c r="T291" s="2442"/>
      <c r="U291" s="2442"/>
      <c r="V291" s="2442"/>
      <c r="W291" s="2442"/>
      <c r="X291" s="2442"/>
      <c r="Y291" s="2442"/>
      <c r="Z291" s="2442"/>
      <c r="AA291" s="2442"/>
      <c r="AB291" s="2442"/>
      <c r="AC291" s="2442"/>
      <c r="AD291" s="2442"/>
      <c r="AE291" s="2442"/>
      <c r="AF291" s="2442"/>
      <c r="AG291" s="2442"/>
      <c r="AH291" s="2442"/>
      <c r="AI291" s="2442"/>
      <c r="AJ291" s="2442"/>
      <c r="AK291" s="2442"/>
      <c r="AL291" s="2442"/>
      <c r="AM291" s="549"/>
      <c r="AN291" s="73"/>
    </row>
    <row r="292" spans="1:49">
      <c r="A292" s="549"/>
      <c r="B292" s="2442"/>
      <c r="C292" s="2442"/>
      <c r="D292" s="2442"/>
      <c r="E292" s="2442"/>
      <c r="F292" s="2442"/>
      <c r="G292" s="2442"/>
      <c r="H292" s="2442"/>
      <c r="I292" s="2442"/>
      <c r="J292" s="2442"/>
      <c r="K292" s="2442"/>
      <c r="L292" s="2442"/>
      <c r="M292" s="2442"/>
      <c r="N292" s="2442"/>
      <c r="O292" s="2442"/>
      <c r="P292" s="2442"/>
      <c r="Q292" s="2442"/>
      <c r="R292" s="2442"/>
      <c r="S292" s="2442"/>
      <c r="T292" s="2442"/>
      <c r="U292" s="2442"/>
      <c r="V292" s="2442"/>
      <c r="W292" s="2442"/>
      <c r="X292" s="2442"/>
      <c r="Y292" s="2442"/>
      <c r="Z292" s="2442"/>
      <c r="AA292" s="2442"/>
      <c r="AB292" s="2442"/>
      <c r="AC292" s="2442"/>
      <c r="AD292" s="2442"/>
      <c r="AE292" s="2442"/>
      <c r="AF292" s="2442"/>
      <c r="AG292" s="2442"/>
      <c r="AH292" s="2442"/>
      <c r="AI292" s="2442"/>
      <c r="AJ292" s="2442"/>
      <c r="AK292" s="2442"/>
      <c r="AL292" s="2442"/>
      <c r="AM292" s="549"/>
      <c r="AN292" s="73"/>
    </row>
    <row r="293" spans="1:49">
      <c r="A293" s="549"/>
      <c r="B293" s="2442"/>
      <c r="C293" s="2442"/>
      <c r="D293" s="2442"/>
      <c r="E293" s="2442"/>
      <c r="F293" s="2442"/>
      <c r="G293" s="2442"/>
      <c r="H293" s="2442"/>
      <c r="I293" s="2442"/>
      <c r="J293" s="2442"/>
      <c r="K293" s="2442"/>
      <c r="L293" s="2442"/>
      <c r="M293" s="2442"/>
      <c r="N293" s="2442"/>
      <c r="O293" s="2442"/>
      <c r="P293" s="2442"/>
      <c r="Q293" s="2442"/>
      <c r="R293" s="2442"/>
      <c r="S293" s="2442"/>
      <c r="T293" s="2442"/>
      <c r="U293" s="2442"/>
      <c r="V293" s="2442"/>
      <c r="W293" s="2442"/>
      <c r="X293" s="2442"/>
      <c r="Y293" s="2442"/>
      <c r="Z293" s="2442"/>
      <c r="AA293" s="2442"/>
      <c r="AB293" s="2442"/>
      <c r="AC293" s="2442"/>
      <c r="AD293" s="2442"/>
      <c r="AE293" s="2442"/>
      <c r="AF293" s="2442"/>
      <c r="AG293" s="2442"/>
      <c r="AH293" s="2442"/>
      <c r="AI293" s="2442"/>
      <c r="AJ293" s="2442"/>
      <c r="AK293" s="2442"/>
      <c r="AL293" s="2442"/>
      <c r="AM293" s="549"/>
      <c r="AN293" s="73"/>
    </row>
    <row r="294" spans="1:49">
      <c r="A294" s="549"/>
      <c r="B294" s="2442"/>
      <c r="C294" s="2442"/>
      <c r="D294" s="2442"/>
      <c r="E294" s="2442"/>
      <c r="F294" s="2442"/>
      <c r="G294" s="2442"/>
      <c r="H294" s="2442"/>
      <c r="I294" s="2442"/>
      <c r="J294" s="2442"/>
      <c r="K294" s="2442"/>
      <c r="L294" s="2442"/>
      <c r="M294" s="2442"/>
      <c r="N294" s="2442"/>
      <c r="O294" s="2442"/>
      <c r="P294" s="2442"/>
      <c r="Q294" s="2442"/>
      <c r="R294" s="2442"/>
      <c r="S294" s="2442"/>
      <c r="T294" s="2442"/>
      <c r="U294" s="2442"/>
      <c r="V294" s="2442"/>
      <c r="W294" s="2442"/>
      <c r="X294" s="2442"/>
      <c r="Y294" s="2442"/>
      <c r="Z294" s="2442"/>
      <c r="AA294" s="2442"/>
      <c r="AB294" s="2442"/>
      <c r="AC294" s="2442"/>
      <c r="AD294" s="2442"/>
      <c r="AE294" s="2442"/>
      <c r="AF294" s="2442"/>
      <c r="AG294" s="2442"/>
      <c r="AH294" s="2442"/>
      <c r="AI294" s="2442"/>
      <c r="AJ294" s="2442"/>
      <c r="AK294" s="2442"/>
      <c r="AL294" s="2442"/>
      <c r="AM294" s="549"/>
      <c r="AN294" s="73"/>
    </row>
    <row r="295" spans="1:49">
      <c r="A295" s="549"/>
      <c r="B295" s="2442"/>
      <c r="C295" s="2442"/>
      <c r="D295" s="2442"/>
      <c r="E295" s="2442"/>
      <c r="F295" s="2442"/>
      <c r="G295" s="2442"/>
      <c r="H295" s="2442"/>
      <c r="I295" s="2442"/>
      <c r="J295" s="2442"/>
      <c r="K295" s="2442"/>
      <c r="L295" s="2442"/>
      <c r="M295" s="2442"/>
      <c r="N295" s="2442"/>
      <c r="O295" s="2442"/>
      <c r="P295" s="2442"/>
      <c r="Q295" s="2442"/>
      <c r="R295" s="2442"/>
      <c r="S295" s="2442"/>
      <c r="T295" s="2442"/>
      <c r="U295" s="2442"/>
      <c r="V295" s="2442"/>
      <c r="W295" s="2442"/>
      <c r="X295" s="2442"/>
      <c r="Y295" s="2442"/>
      <c r="Z295" s="2442"/>
      <c r="AA295" s="2442"/>
      <c r="AB295" s="2442"/>
      <c r="AC295" s="2442"/>
      <c r="AD295" s="2442"/>
      <c r="AE295" s="2442"/>
      <c r="AF295" s="2442"/>
      <c r="AG295" s="2442"/>
      <c r="AH295" s="2442"/>
      <c r="AI295" s="2442"/>
      <c r="AJ295" s="2442"/>
      <c r="AK295" s="2442"/>
      <c r="AL295" s="2442"/>
      <c r="AM295" s="549"/>
      <c r="AN295" s="73"/>
    </row>
    <row r="296" spans="1:49">
      <c r="A296" s="549"/>
      <c r="B296" s="2442"/>
      <c r="C296" s="2442"/>
      <c r="D296" s="2442"/>
      <c r="E296" s="2442"/>
      <c r="F296" s="2442"/>
      <c r="G296" s="2442"/>
      <c r="H296" s="2442"/>
      <c r="I296" s="2442"/>
      <c r="J296" s="2442"/>
      <c r="K296" s="2442"/>
      <c r="L296" s="2442"/>
      <c r="M296" s="2442"/>
      <c r="N296" s="2442"/>
      <c r="O296" s="2442"/>
      <c r="P296" s="2442"/>
      <c r="Q296" s="2442"/>
      <c r="R296" s="2442"/>
      <c r="S296" s="2442"/>
      <c r="T296" s="2442"/>
      <c r="U296" s="2442"/>
      <c r="V296" s="2442"/>
      <c r="W296" s="2442"/>
      <c r="X296" s="2442"/>
      <c r="Y296" s="2442"/>
      <c r="Z296" s="2442"/>
      <c r="AA296" s="2442"/>
      <c r="AB296" s="2442"/>
      <c r="AC296" s="2442"/>
      <c r="AD296" s="2442"/>
      <c r="AE296" s="2442"/>
      <c r="AF296" s="2442"/>
      <c r="AG296" s="2442"/>
      <c r="AH296" s="2442"/>
      <c r="AI296" s="2442"/>
      <c r="AJ296" s="2442"/>
      <c r="AK296" s="2442"/>
      <c r="AL296" s="2442"/>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62">
        <f>IF($C$279="yes",10,0)</f>
        <v>10</v>
      </c>
      <c r="AL298" s="2562"/>
      <c r="AM298" s="2563"/>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2570</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19" t="s">
        <v>1373</v>
      </c>
      <c r="B305" s="1619"/>
      <c r="C305" s="2399" t="s">
        <v>591</v>
      </c>
      <c r="D305" s="2413"/>
      <c r="E305" s="546"/>
      <c r="F305" s="2564" t="s">
        <v>1374</v>
      </c>
      <c r="G305" s="2565"/>
      <c r="H305" s="2565"/>
      <c r="I305" s="2565"/>
      <c r="J305" s="2565"/>
      <c r="K305" s="2565"/>
      <c r="L305" s="2565"/>
      <c r="M305" s="2565"/>
      <c r="N305" s="2565"/>
      <c r="O305" s="2565"/>
      <c r="P305" s="2565"/>
      <c r="Q305" s="2565"/>
      <c r="R305" s="2565"/>
      <c r="S305" s="2565"/>
      <c r="T305" s="2565"/>
      <c r="U305" s="2565"/>
      <c r="V305" s="2565"/>
      <c r="W305" s="2565"/>
      <c r="X305" s="2565"/>
      <c r="Y305" s="2565"/>
      <c r="Z305" s="2565"/>
      <c r="AA305" s="2565"/>
      <c r="AB305" s="2565"/>
      <c r="AC305" s="2565"/>
      <c r="AD305" s="2566"/>
      <c r="AE305" s="640"/>
      <c r="AF305" s="549"/>
      <c r="AG305" s="2567" t="s">
        <v>1981</v>
      </c>
      <c r="AH305" s="2567"/>
      <c r="AI305" s="2567"/>
      <c r="AJ305" s="2567"/>
      <c r="AK305" s="2567"/>
      <c r="AL305" s="549"/>
      <c r="AM305" s="549"/>
      <c r="AN305" s="73"/>
      <c r="AO305" s="14"/>
      <c r="AP305" s="30"/>
      <c r="AS305" s="568"/>
      <c r="AT305" s="568"/>
      <c r="AU305" s="568"/>
      <c r="AV305" s="32"/>
      <c r="AW305" s="32"/>
    </row>
    <row r="306" spans="1:49">
      <c r="A306" s="638"/>
      <c r="B306" s="594"/>
      <c r="F306" s="2433"/>
      <c r="G306" s="2391"/>
      <c r="H306" s="2391"/>
      <c r="I306" s="2391"/>
      <c r="J306" s="2391"/>
      <c r="K306" s="2391"/>
      <c r="L306" s="2391"/>
      <c r="M306" s="2391"/>
      <c r="N306" s="2391"/>
      <c r="O306" s="2391"/>
      <c r="P306" s="2391"/>
      <c r="Q306" s="2391"/>
      <c r="R306" s="2391"/>
      <c r="S306" s="2391"/>
      <c r="T306" s="2391"/>
      <c r="U306" s="2391"/>
      <c r="V306" s="2391"/>
      <c r="W306" s="2391"/>
      <c r="X306" s="2391"/>
      <c r="Y306" s="2391"/>
      <c r="Z306" s="2391"/>
      <c r="AA306" s="2391"/>
      <c r="AB306" s="2391"/>
      <c r="AC306" s="2391"/>
      <c r="AD306" s="2434"/>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3"/>
      <c r="G307" s="2391"/>
      <c r="H307" s="2391"/>
      <c r="I307" s="2391"/>
      <c r="J307" s="2391"/>
      <c r="K307" s="2391"/>
      <c r="L307" s="2391"/>
      <c r="M307" s="2391"/>
      <c r="N307" s="2391"/>
      <c r="O307" s="2391"/>
      <c r="P307" s="2391"/>
      <c r="Q307" s="2391"/>
      <c r="R307" s="2391"/>
      <c r="S307" s="2391"/>
      <c r="T307" s="2391"/>
      <c r="U307" s="2391"/>
      <c r="V307" s="2391"/>
      <c r="W307" s="2391"/>
      <c r="X307" s="2391"/>
      <c r="Y307" s="2391"/>
      <c r="Z307" s="2391"/>
      <c r="AA307" s="2391"/>
      <c r="AB307" s="2391"/>
      <c r="AC307" s="2391"/>
      <c r="AD307" s="2434"/>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3" t="s">
        <v>1986</v>
      </c>
      <c r="G308" s="2391"/>
      <c r="H308" s="2391"/>
      <c r="I308" s="2391"/>
      <c r="J308" s="2391"/>
      <c r="K308" s="2391"/>
      <c r="L308" s="2391"/>
      <c r="M308" s="2391"/>
      <c r="N308" s="2391"/>
      <c r="O308" s="2391"/>
      <c r="P308" s="2391"/>
      <c r="Q308" s="2391"/>
      <c r="R308" s="2391"/>
      <c r="S308" s="2391"/>
      <c r="T308" s="2391"/>
      <c r="U308" s="2391"/>
      <c r="V308" s="2391"/>
      <c r="W308" s="2391"/>
      <c r="X308" s="2391"/>
      <c r="Y308" s="2391"/>
      <c r="Z308" s="2391"/>
      <c r="AA308" s="2391"/>
      <c r="AB308" s="2391"/>
      <c r="AC308" s="2391"/>
      <c r="AD308" s="2434"/>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33"/>
      <c r="G309" s="2391"/>
      <c r="H309" s="2391"/>
      <c r="I309" s="2391"/>
      <c r="J309" s="2391"/>
      <c r="K309" s="2391"/>
      <c r="L309" s="2391"/>
      <c r="M309" s="2391"/>
      <c r="N309" s="2391"/>
      <c r="O309" s="2391"/>
      <c r="P309" s="2391"/>
      <c r="Q309" s="2391"/>
      <c r="R309" s="2391"/>
      <c r="S309" s="2391"/>
      <c r="T309" s="2391"/>
      <c r="U309" s="2391"/>
      <c r="V309" s="2391"/>
      <c r="W309" s="2391"/>
      <c r="X309" s="2391"/>
      <c r="Y309" s="2391"/>
      <c r="Z309" s="2391"/>
      <c r="AA309" s="2391"/>
      <c r="AB309" s="2391"/>
      <c r="AC309" s="2391"/>
      <c r="AD309" s="2434"/>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3" t="s">
        <v>1375</v>
      </c>
      <c r="G310" s="2391"/>
      <c r="H310" s="2391"/>
      <c r="I310" s="2391"/>
      <c r="J310" s="2391"/>
      <c r="K310" s="2391"/>
      <c r="L310" s="2391"/>
      <c r="M310" s="2391"/>
      <c r="N310" s="2391"/>
      <c r="O310" s="2391"/>
      <c r="P310" s="2391"/>
      <c r="Q310" s="2391"/>
      <c r="R310" s="2391"/>
      <c r="S310" s="2391"/>
      <c r="T310" s="2391"/>
      <c r="U310" s="2391"/>
      <c r="V310" s="2391"/>
      <c r="W310" s="2391"/>
      <c r="X310" s="2391"/>
      <c r="Y310" s="2391"/>
      <c r="Z310" s="2391"/>
      <c r="AA310" s="2391"/>
      <c r="AB310" s="2391"/>
      <c r="AC310" s="2391"/>
      <c r="AD310" s="2434"/>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3"/>
      <c r="G311" s="2391"/>
      <c r="H311" s="2391"/>
      <c r="I311" s="2391"/>
      <c r="J311" s="2391"/>
      <c r="K311" s="2391"/>
      <c r="L311" s="2391"/>
      <c r="M311" s="2391"/>
      <c r="N311" s="2391"/>
      <c r="O311" s="2391"/>
      <c r="P311" s="2391"/>
      <c r="Q311" s="2391"/>
      <c r="R311" s="2391"/>
      <c r="S311" s="2391"/>
      <c r="T311" s="2391"/>
      <c r="U311" s="2391"/>
      <c r="V311" s="2391"/>
      <c r="W311" s="2391"/>
      <c r="X311" s="2391"/>
      <c r="Y311" s="2391"/>
      <c r="Z311" s="2391"/>
      <c r="AA311" s="2391"/>
      <c r="AB311" s="2391"/>
      <c r="AC311" s="2391"/>
      <c r="AD311" s="2434"/>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3" t="s">
        <v>1376</v>
      </c>
      <c r="G312" s="2391"/>
      <c r="H312" s="2391"/>
      <c r="I312" s="2391"/>
      <c r="J312" s="2391"/>
      <c r="K312" s="2391"/>
      <c r="L312" s="2391"/>
      <c r="M312" s="2391"/>
      <c r="N312" s="2391"/>
      <c r="O312" s="2391"/>
      <c r="P312" s="2391"/>
      <c r="Q312" s="2391"/>
      <c r="R312" s="2391"/>
      <c r="S312" s="2391"/>
      <c r="T312" s="2391"/>
      <c r="U312" s="2391"/>
      <c r="V312" s="2391"/>
      <c r="W312" s="2391"/>
      <c r="X312" s="2391"/>
      <c r="Y312" s="2391"/>
      <c r="Z312" s="2391"/>
      <c r="AA312" s="2391"/>
      <c r="AB312" s="2391"/>
      <c r="AC312" s="2391"/>
      <c r="AD312" s="2434"/>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5"/>
      <c r="G313" s="2436"/>
      <c r="H313" s="2436"/>
      <c r="I313" s="2436"/>
      <c r="J313" s="2436"/>
      <c r="K313" s="2436"/>
      <c r="L313" s="2436"/>
      <c r="M313" s="2436"/>
      <c r="N313" s="2436"/>
      <c r="O313" s="2436"/>
      <c r="P313" s="2436"/>
      <c r="Q313" s="2436"/>
      <c r="R313" s="2436"/>
      <c r="S313" s="2436"/>
      <c r="T313" s="2436"/>
      <c r="U313" s="2436"/>
      <c r="V313" s="2436"/>
      <c r="W313" s="2436"/>
      <c r="X313" s="2436"/>
      <c r="Y313" s="2436"/>
      <c r="Z313" s="2436"/>
      <c r="AA313" s="2436"/>
      <c r="AB313" s="2436"/>
      <c r="AC313" s="2436"/>
      <c r="AD313" s="2561"/>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19" t="s">
        <v>1377</v>
      </c>
      <c r="B315" s="1619"/>
      <c r="C315" s="2413" t="s">
        <v>545</v>
      </c>
      <c r="D315" s="2413"/>
      <c r="E315" s="546"/>
      <c r="F315" s="967" t="s">
        <v>2571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3" t="s">
        <v>1982</v>
      </c>
      <c r="G316" s="2391"/>
      <c r="H316" s="2391"/>
      <c r="I316" s="2391"/>
      <c r="J316" s="2391"/>
      <c r="K316" s="2391"/>
      <c r="L316" s="2391"/>
      <c r="M316" s="2391"/>
      <c r="N316" s="2391"/>
      <c r="O316" s="2391"/>
      <c r="P316" s="2391"/>
      <c r="Q316" s="2391"/>
      <c r="R316" s="2391"/>
      <c r="S316" s="2391"/>
      <c r="T316" s="2391"/>
      <c r="U316" s="2391"/>
      <c r="V316" s="2391"/>
      <c r="W316" s="2391"/>
      <c r="X316" s="2391"/>
      <c r="Y316" s="2391"/>
      <c r="Z316" s="2391"/>
      <c r="AA316" s="2391"/>
      <c r="AB316" s="2391"/>
      <c r="AC316" s="2391"/>
      <c r="AD316" s="2434"/>
      <c r="AE316" s="550"/>
      <c r="AF316" s="550"/>
      <c r="AG316" s="550"/>
      <c r="AH316" s="550"/>
      <c r="AI316" s="550"/>
      <c r="AJ316" s="549"/>
      <c r="AK316" s="549"/>
      <c r="AL316" s="549"/>
      <c r="AM316" s="549"/>
      <c r="AR316" s="644"/>
    </row>
    <row r="317" spans="1:49" ht="15" customHeight="1">
      <c r="A317" s="549"/>
      <c r="B317" s="550"/>
      <c r="C317" s="549"/>
      <c r="D317" s="550"/>
      <c r="E317" s="549"/>
      <c r="F317" s="2433"/>
      <c r="G317" s="2391"/>
      <c r="H317" s="2391"/>
      <c r="I317" s="2391"/>
      <c r="J317" s="2391"/>
      <c r="K317" s="2391"/>
      <c r="L317" s="2391"/>
      <c r="M317" s="2391"/>
      <c r="N317" s="2391"/>
      <c r="O317" s="2391"/>
      <c r="P317" s="2391"/>
      <c r="Q317" s="2391"/>
      <c r="R317" s="2391"/>
      <c r="S317" s="2391"/>
      <c r="T317" s="2391"/>
      <c r="U317" s="2391"/>
      <c r="V317" s="2391"/>
      <c r="W317" s="2391"/>
      <c r="X317" s="2391"/>
      <c r="Y317" s="2391"/>
      <c r="Z317" s="2391"/>
      <c r="AA317" s="2391"/>
      <c r="AB317" s="2391"/>
      <c r="AC317" s="2391"/>
      <c r="AD317" s="2434"/>
      <c r="AE317" s="550"/>
      <c r="AF317" s="550"/>
      <c r="AG317" s="550"/>
      <c r="AH317" s="550"/>
      <c r="AI317" s="550"/>
      <c r="AJ317" s="549"/>
      <c r="AK317" s="549"/>
      <c r="AL317" s="549"/>
      <c r="AM317" s="549"/>
      <c r="AR317" s="644"/>
    </row>
    <row r="318" spans="1:49">
      <c r="A318" s="549"/>
      <c r="B318" s="550"/>
      <c r="C318" s="549"/>
      <c r="D318" s="550"/>
      <c r="E318" s="549"/>
      <c r="F318" s="2433"/>
      <c r="G318" s="2391"/>
      <c r="H318" s="2391"/>
      <c r="I318" s="2391"/>
      <c r="J318" s="2391"/>
      <c r="K318" s="2391"/>
      <c r="L318" s="2391"/>
      <c r="M318" s="2391"/>
      <c r="N318" s="2391"/>
      <c r="O318" s="2391"/>
      <c r="P318" s="2391"/>
      <c r="Q318" s="2391"/>
      <c r="R318" s="2391"/>
      <c r="S318" s="2391"/>
      <c r="T318" s="2391"/>
      <c r="U318" s="2391"/>
      <c r="V318" s="2391"/>
      <c r="W318" s="2391"/>
      <c r="X318" s="2391"/>
      <c r="Y318" s="2391"/>
      <c r="Z318" s="2391"/>
      <c r="AA318" s="2391"/>
      <c r="AB318" s="2391"/>
      <c r="AC318" s="2391"/>
      <c r="AD318" s="2434"/>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5"/>
      <c r="G319" s="2436"/>
      <c r="H319" s="2436"/>
      <c r="I319" s="2436"/>
      <c r="J319" s="2436"/>
      <c r="K319" s="2436"/>
      <c r="L319" s="2436"/>
      <c r="M319" s="2436"/>
      <c r="N319" s="2436"/>
      <c r="O319" s="2436"/>
      <c r="P319" s="2436"/>
      <c r="Q319" s="2436"/>
      <c r="R319" s="2436"/>
      <c r="S319" s="2436"/>
      <c r="T319" s="2436"/>
      <c r="U319" s="2436"/>
      <c r="V319" s="2436"/>
      <c r="W319" s="2436"/>
      <c r="X319" s="2436"/>
      <c r="Y319" s="2436"/>
      <c r="Z319" s="2436"/>
      <c r="AA319" s="2436"/>
      <c r="AB319" s="2436"/>
      <c r="AC319" s="2436"/>
      <c r="AD319" s="2561"/>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19" t="s">
        <v>1380</v>
      </c>
      <c r="B323" s="1619"/>
      <c r="C323" s="2413" t="s">
        <v>591</v>
      </c>
      <c r="D323" s="2413"/>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33" t="s">
        <v>1987</v>
      </c>
      <c r="G324" s="2391"/>
      <c r="H324" s="2391"/>
      <c r="I324" s="2391"/>
      <c r="J324" s="2391"/>
      <c r="K324" s="2391"/>
      <c r="L324" s="2391"/>
      <c r="M324" s="2391"/>
      <c r="N324" s="2391"/>
      <c r="O324" s="2391"/>
      <c r="P324" s="2391"/>
      <c r="Q324" s="2391"/>
      <c r="R324" s="2391"/>
      <c r="S324" s="2391"/>
      <c r="T324" s="2391"/>
      <c r="U324" s="2391"/>
      <c r="V324" s="2391"/>
      <c r="W324" s="2391"/>
      <c r="X324" s="2391"/>
      <c r="Y324" s="2391"/>
      <c r="Z324" s="2391"/>
      <c r="AA324" s="2391"/>
      <c r="AB324" s="2391"/>
      <c r="AC324" s="2391"/>
      <c r="AD324" s="2434"/>
      <c r="AE324" s="550"/>
      <c r="AF324" s="550"/>
      <c r="AG324" s="539"/>
      <c r="AH324" s="550"/>
      <c r="AI324" s="550"/>
      <c r="AJ324" s="549"/>
      <c r="AK324" s="549"/>
      <c r="AL324" s="549"/>
      <c r="AM324" s="549"/>
      <c r="AN324" s="73"/>
      <c r="AO324" s="14"/>
      <c r="AP324" s="555" t="s">
        <v>1183</v>
      </c>
    </row>
    <row r="325" spans="1:44" hidden="1">
      <c r="F325" s="2433"/>
      <c r="G325" s="2391"/>
      <c r="H325" s="2391"/>
      <c r="I325" s="2391"/>
      <c r="J325" s="2391"/>
      <c r="K325" s="2391"/>
      <c r="L325" s="2391"/>
      <c r="M325" s="2391"/>
      <c r="N325" s="2391"/>
      <c r="O325" s="2391"/>
      <c r="P325" s="2391"/>
      <c r="Q325" s="2391"/>
      <c r="R325" s="2391"/>
      <c r="S325" s="2391"/>
      <c r="T325" s="2391"/>
      <c r="U325" s="2391"/>
      <c r="V325" s="2391"/>
      <c r="W325" s="2391"/>
      <c r="X325" s="2391"/>
      <c r="Y325" s="2391"/>
      <c r="Z325" s="2391"/>
      <c r="AA325" s="2391"/>
      <c r="AB325" s="2391"/>
      <c r="AC325" s="2391"/>
      <c r="AD325" s="2434"/>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1" t="s">
        <v>1183</v>
      </c>
      <c r="G329" s="2542"/>
      <c r="H329" s="2542"/>
      <c r="I329" s="2542"/>
      <c r="J329" s="2542"/>
      <c r="K329" s="2542"/>
      <c r="L329" s="2542"/>
      <c r="M329" s="2542"/>
      <c r="N329" s="2542"/>
      <c r="O329" s="2542"/>
      <c r="P329" s="2542"/>
      <c r="Q329" s="2542"/>
      <c r="R329" s="2542"/>
      <c r="S329" s="2542"/>
      <c r="T329" s="2542"/>
      <c r="U329" s="2542"/>
      <c r="V329" s="2542"/>
      <c r="W329" s="2542"/>
      <c r="X329" s="2542"/>
      <c r="Y329" s="2542"/>
      <c r="Z329" s="2542"/>
      <c r="AA329" s="2542"/>
      <c r="AB329" s="2542"/>
      <c r="AC329" s="2542"/>
      <c r="AD329" s="2543"/>
      <c r="AE329" s="640"/>
      <c r="AF329" s="640"/>
      <c r="AG329" s="640"/>
      <c r="AH329" s="640"/>
      <c r="AI329" s="640"/>
      <c r="AJ329" s="640"/>
      <c r="AK329" s="640"/>
      <c r="AL329" s="549"/>
      <c r="AM329" s="549"/>
      <c r="AN329" s="73"/>
      <c r="AO329" s="14"/>
      <c r="AP329" s="30"/>
    </row>
    <row r="330" spans="1:44" hidden="1">
      <c r="A330" s="549"/>
      <c r="B330" s="550"/>
      <c r="C330" s="726"/>
      <c r="D330" s="726"/>
      <c r="E330" s="546"/>
      <c r="F330" s="2541"/>
      <c r="G330" s="2542"/>
      <c r="H330" s="2542"/>
      <c r="I330" s="2542"/>
      <c r="J330" s="2542"/>
      <c r="K330" s="2542"/>
      <c r="L330" s="2542"/>
      <c r="M330" s="2542"/>
      <c r="N330" s="2542"/>
      <c r="O330" s="2542"/>
      <c r="P330" s="2542"/>
      <c r="Q330" s="2542"/>
      <c r="R330" s="2542"/>
      <c r="S330" s="2542"/>
      <c r="T330" s="2542"/>
      <c r="U330" s="2542"/>
      <c r="V330" s="2542"/>
      <c r="W330" s="2542"/>
      <c r="X330" s="2542"/>
      <c r="Y330" s="2542"/>
      <c r="Z330" s="2542"/>
      <c r="AA330" s="2542"/>
      <c r="AB330" s="2542"/>
      <c r="AC330" s="2542"/>
      <c r="AD330" s="2543"/>
      <c r="AE330" s="550"/>
      <c r="AF330" s="550"/>
      <c r="AG330" s="539"/>
      <c r="AH330" s="550"/>
      <c r="AI330" s="550"/>
      <c r="AJ330" s="549"/>
      <c r="AK330" s="549"/>
      <c r="AL330" s="549"/>
      <c r="AM330" s="549"/>
      <c r="AN330" s="73"/>
      <c r="AO330" s="14"/>
      <c r="AP330" s="30"/>
    </row>
    <row r="331" spans="1:44" hidden="1">
      <c r="A331" s="549"/>
      <c r="B331" s="550"/>
      <c r="C331" s="726"/>
      <c r="D331" s="726"/>
      <c r="E331" s="546"/>
      <c r="F331" s="2541"/>
      <c r="G331" s="2542"/>
      <c r="H331" s="2542"/>
      <c r="I331" s="2542"/>
      <c r="J331" s="2542"/>
      <c r="K331" s="2542"/>
      <c r="L331" s="2542"/>
      <c r="M331" s="2542"/>
      <c r="N331" s="2542"/>
      <c r="O331" s="2542"/>
      <c r="P331" s="2542"/>
      <c r="Q331" s="2542"/>
      <c r="R331" s="2542"/>
      <c r="S331" s="2542"/>
      <c r="T331" s="2542"/>
      <c r="U331" s="2542"/>
      <c r="V331" s="2542"/>
      <c r="W331" s="2542"/>
      <c r="X331" s="2542"/>
      <c r="Y331" s="2542"/>
      <c r="Z331" s="2542"/>
      <c r="AA331" s="2542"/>
      <c r="AB331" s="2542"/>
      <c r="AC331" s="2542"/>
      <c r="AD331" s="2543"/>
      <c r="AE331" s="550"/>
      <c r="AF331" s="550"/>
      <c r="AG331" s="539"/>
      <c r="AH331" s="550"/>
      <c r="AI331" s="550"/>
      <c r="AJ331" s="549"/>
      <c r="AK331" s="549"/>
      <c r="AL331" s="549"/>
      <c r="AM331" s="549"/>
      <c r="AN331" s="73"/>
      <c r="AO331" s="14"/>
      <c r="AP331" s="30"/>
    </row>
    <row r="332" spans="1:44" hidden="1">
      <c r="A332" s="549"/>
      <c r="B332" s="550"/>
      <c r="C332" s="726"/>
      <c r="D332" s="726"/>
      <c r="E332" s="546"/>
      <c r="F332" s="2541"/>
      <c r="G332" s="2542"/>
      <c r="H332" s="2542"/>
      <c r="I332" s="2542"/>
      <c r="J332" s="2542"/>
      <c r="K332" s="2542"/>
      <c r="L332" s="2542"/>
      <c r="M332" s="2542"/>
      <c r="N332" s="2542"/>
      <c r="O332" s="2542"/>
      <c r="P332" s="2542"/>
      <c r="Q332" s="2542"/>
      <c r="R332" s="2542"/>
      <c r="S332" s="2542"/>
      <c r="T332" s="2542"/>
      <c r="U332" s="2542"/>
      <c r="V332" s="2542"/>
      <c r="W332" s="2542"/>
      <c r="X332" s="2542"/>
      <c r="Y332" s="2542"/>
      <c r="Z332" s="2542"/>
      <c r="AA332" s="2542"/>
      <c r="AB332" s="2542"/>
      <c r="AC332" s="2542"/>
      <c r="AD332" s="2543"/>
      <c r="AE332" s="550"/>
      <c r="AF332" s="550"/>
      <c r="AG332" s="539"/>
      <c r="AH332" s="550"/>
      <c r="AI332" s="550"/>
      <c r="AJ332" s="549"/>
      <c r="AK332" s="549"/>
      <c r="AL332" s="549"/>
      <c r="AM332" s="549"/>
      <c r="AN332" s="73"/>
      <c r="AO332" s="14"/>
      <c r="AP332" s="30"/>
    </row>
    <row r="333" spans="1:44" hidden="1">
      <c r="A333" s="549"/>
      <c r="B333" s="550"/>
      <c r="C333" s="726"/>
      <c r="D333" s="726"/>
      <c r="E333" s="546"/>
      <c r="F333" s="2544"/>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687</v>
      </c>
      <c r="H337" s="573"/>
      <c r="I337" s="2547" t="s">
        <v>1183</v>
      </c>
      <c r="J337" s="2547"/>
      <c r="K337" s="2547"/>
      <c r="L337" s="2547"/>
      <c r="M337" s="2547"/>
      <c r="N337" s="2547"/>
      <c r="O337" s="2547"/>
      <c r="P337" s="2547"/>
      <c r="Q337" s="2547"/>
      <c r="R337" s="2547"/>
      <c r="S337" s="2547"/>
      <c r="T337" s="2547"/>
      <c r="U337" s="2547"/>
      <c r="V337" s="2547"/>
      <c r="W337" s="2547"/>
      <c r="X337" s="2547"/>
      <c r="Y337" s="2547"/>
      <c r="Z337" s="2547"/>
      <c r="AA337" s="2547"/>
      <c r="AB337" s="2547"/>
      <c r="AC337" s="2547"/>
      <c r="AD337" s="2548"/>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7"/>
      <c r="J338" s="2547"/>
      <c r="K338" s="2547"/>
      <c r="L338" s="2547"/>
      <c r="M338" s="2547"/>
      <c r="N338" s="2547"/>
      <c r="O338" s="2547"/>
      <c r="P338" s="2547"/>
      <c r="Q338" s="2547"/>
      <c r="R338" s="2547"/>
      <c r="S338" s="2547"/>
      <c r="T338" s="2547"/>
      <c r="U338" s="2547"/>
      <c r="V338" s="2547"/>
      <c r="W338" s="2547"/>
      <c r="X338" s="2547"/>
      <c r="Y338" s="2547"/>
      <c r="Z338" s="2547"/>
      <c r="AA338" s="2547"/>
      <c r="AB338" s="2547"/>
      <c r="AC338" s="2547"/>
      <c r="AD338" s="2548"/>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7"/>
      <c r="J339" s="2547"/>
      <c r="K339" s="2547"/>
      <c r="L339" s="2547"/>
      <c r="M339" s="2547"/>
      <c r="N339" s="2547"/>
      <c r="O339" s="2547"/>
      <c r="P339" s="2547"/>
      <c r="Q339" s="2547"/>
      <c r="R339" s="2547"/>
      <c r="S339" s="2547"/>
      <c r="T339" s="2547"/>
      <c r="U339" s="2547"/>
      <c r="V339" s="2547"/>
      <c r="W339" s="2547"/>
      <c r="X339" s="2547"/>
      <c r="Y339" s="2547"/>
      <c r="Z339" s="2547"/>
      <c r="AA339" s="2547"/>
      <c r="AB339" s="2547"/>
      <c r="AC339" s="2547"/>
      <c r="AD339" s="2548"/>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9"/>
      <c r="J340" s="2549"/>
      <c r="K340" s="2549"/>
      <c r="L340" s="2549"/>
      <c r="M340" s="2549"/>
      <c r="N340" s="2549"/>
      <c r="O340" s="2549"/>
      <c r="P340" s="2549"/>
      <c r="Q340" s="2549"/>
      <c r="R340" s="2549"/>
      <c r="S340" s="2549"/>
      <c r="T340" s="2549"/>
      <c r="U340" s="2549"/>
      <c r="V340" s="2549"/>
      <c r="W340" s="2549"/>
      <c r="X340" s="2549"/>
      <c r="Y340" s="2549"/>
      <c r="Z340" s="2549"/>
      <c r="AA340" s="2549"/>
      <c r="AB340" s="2549"/>
      <c r="AC340" s="2549"/>
      <c r="AD340" s="2550"/>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7" t="s">
        <v>1183</v>
      </c>
      <c r="J342" s="2547"/>
      <c r="K342" s="2547"/>
      <c r="L342" s="2547"/>
      <c r="M342" s="2547"/>
      <c r="N342" s="2547"/>
      <c r="O342" s="2547"/>
      <c r="P342" s="2547"/>
      <c r="Q342" s="2547"/>
      <c r="R342" s="2547"/>
      <c r="S342" s="2547"/>
      <c r="T342" s="2547"/>
      <c r="U342" s="2547"/>
      <c r="V342" s="2547"/>
      <c r="W342" s="2547"/>
      <c r="X342" s="2547"/>
      <c r="Y342" s="2547"/>
      <c r="Z342" s="2547"/>
      <c r="AA342" s="2547"/>
      <c r="AB342" s="2547"/>
      <c r="AC342" s="2547"/>
      <c r="AD342" s="2548"/>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7"/>
      <c r="J343" s="2547"/>
      <c r="K343" s="2547"/>
      <c r="L343" s="2547"/>
      <c r="M343" s="2547"/>
      <c r="N343" s="2547"/>
      <c r="O343" s="2547"/>
      <c r="P343" s="2547"/>
      <c r="Q343" s="2547"/>
      <c r="R343" s="2547"/>
      <c r="S343" s="2547"/>
      <c r="T343" s="2547"/>
      <c r="U343" s="2547"/>
      <c r="V343" s="2547"/>
      <c r="W343" s="2547"/>
      <c r="X343" s="2547"/>
      <c r="Y343" s="2547"/>
      <c r="Z343" s="2547"/>
      <c r="AA343" s="2547"/>
      <c r="AB343" s="2547"/>
      <c r="AC343" s="2547"/>
      <c r="AD343" s="2548"/>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9"/>
      <c r="J344" s="2549"/>
      <c r="K344" s="2549"/>
      <c r="L344" s="2549"/>
      <c r="M344" s="2549"/>
      <c r="N344" s="2549"/>
      <c r="O344" s="2549"/>
      <c r="P344" s="2549"/>
      <c r="Q344" s="2549"/>
      <c r="R344" s="2549"/>
      <c r="S344" s="2549"/>
      <c r="T344" s="2549"/>
      <c r="U344" s="2549"/>
      <c r="V344" s="2549"/>
      <c r="W344" s="2549"/>
      <c r="X344" s="2549"/>
      <c r="Y344" s="2549"/>
      <c r="Z344" s="2549"/>
      <c r="AA344" s="2549"/>
      <c r="AB344" s="2549"/>
      <c r="AC344" s="2549"/>
      <c r="AD344" s="2550"/>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19" t="s">
        <v>1383</v>
      </c>
      <c r="B346" s="1619"/>
      <c r="C346" s="2413" t="s">
        <v>591</v>
      </c>
      <c r="D346" s="2413"/>
      <c r="E346" s="546"/>
      <c r="F346" s="2454" t="s">
        <v>1988</v>
      </c>
      <c r="G346" s="2455"/>
      <c r="H346" s="2455"/>
      <c r="I346" s="2455"/>
      <c r="J346" s="2455"/>
      <c r="K346" s="2455"/>
      <c r="L346" s="2455"/>
      <c r="M346" s="2455"/>
      <c r="N346" s="2455"/>
      <c r="O346" s="2455"/>
      <c r="P346" s="2455"/>
      <c r="Q346" s="2455"/>
      <c r="R346" s="2455"/>
      <c r="S346" s="2455"/>
      <c r="T346" s="2455"/>
      <c r="U346" s="2455"/>
      <c r="V346" s="2455"/>
      <c r="W346" s="2455"/>
      <c r="X346" s="2455"/>
      <c r="Y346" s="2455"/>
      <c r="Z346" s="2455"/>
      <c r="AA346" s="2455"/>
      <c r="AB346" s="2455"/>
      <c r="AC346" s="2455"/>
      <c r="AD346" s="2456"/>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7"/>
      <c r="G347" s="2458"/>
      <c r="H347" s="2458"/>
      <c r="I347" s="2458"/>
      <c r="J347" s="2458"/>
      <c r="K347" s="2458"/>
      <c r="L347" s="2458"/>
      <c r="M347" s="2458"/>
      <c r="N347" s="2458"/>
      <c r="O347" s="2458"/>
      <c r="P347" s="2458"/>
      <c r="Q347" s="2458"/>
      <c r="R347" s="2458"/>
      <c r="S347" s="2458"/>
      <c r="T347" s="2458"/>
      <c r="U347" s="2458"/>
      <c r="V347" s="2458"/>
      <c r="W347" s="2458"/>
      <c r="X347" s="2458"/>
      <c r="Y347" s="2458"/>
      <c r="Z347" s="2458"/>
      <c r="AA347" s="2458"/>
      <c r="AB347" s="2458"/>
      <c r="AC347" s="2458"/>
      <c r="AD347" s="2459"/>
      <c r="AE347" s="550"/>
      <c r="AF347" s="550"/>
      <c r="AG347" s="550"/>
      <c r="AH347" s="550"/>
      <c r="AI347" s="550"/>
      <c r="AJ347" s="549"/>
      <c r="AK347" s="549"/>
      <c r="AL347" s="549"/>
      <c r="AM347" s="549"/>
      <c r="AN347" s="73"/>
      <c r="AO347" s="14"/>
    </row>
    <row r="348" spans="1:42" ht="15" hidden="1" customHeight="1">
      <c r="A348" s="549"/>
      <c r="B348" s="550"/>
      <c r="C348" s="550"/>
      <c r="D348" s="550"/>
      <c r="E348" s="550"/>
      <c r="F348" s="2457"/>
      <c r="G348" s="2458"/>
      <c r="H348" s="2458"/>
      <c r="I348" s="2458"/>
      <c r="J348" s="2458"/>
      <c r="K348" s="2458"/>
      <c r="L348" s="2458"/>
      <c r="M348" s="2458"/>
      <c r="N348" s="2458"/>
      <c r="O348" s="2458"/>
      <c r="P348" s="2458"/>
      <c r="Q348" s="2458"/>
      <c r="R348" s="2458"/>
      <c r="S348" s="2458"/>
      <c r="T348" s="2458"/>
      <c r="U348" s="2458"/>
      <c r="V348" s="2458"/>
      <c r="W348" s="2458"/>
      <c r="X348" s="2458"/>
      <c r="Y348" s="2458"/>
      <c r="Z348" s="2458"/>
      <c r="AA348" s="2458"/>
      <c r="AB348" s="2458"/>
      <c r="AC348" s="2458"/>
      <c r="AD348" s="2459"/>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2603</v>
      </c>
      <c r="AK351" s="2394">
        <f>IF(NOT(OR(Application!M364="Yes",Application!M365="Yes")),0,AP308)</f>
        <v>9</v>
      </c>
      <c r="AL351" s="2440"/>
      <c r="AM351" s="239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845</v>
      </c>
      <c r="C354" s="536"/>
      <c r="AC354" s="539"/>
      <c r="AE354" s="2451" t="s">
        <v>1307</v>
      </c>
      <c r="AF354" s="2451"/>
      <c r="AG354" s="2451"/>
      <c r="AH354" s="2451"/>
      <c r="AI354" s="2451"/>
      <c r="AJ354" s="2451"/>
      <c r="AK354" s="2451"/>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2" t="s">
        <v>1444</v>
      </c>
      <c r="D356" s="2462"/>
      <c r="E356" s="2462"/>
      <c r="F356" s="2462"/>
      <c r="G356" s="2462"/>
      <c r="H356" s="2462"/>
      <c r="I356" s="2462"/>
      <c r="J356" s="2462"/>
      <c r="K356" s="2462"/>
      <c r="L356" s="2462"/>
      <c r="M356" s="2462"/>
      <c r="N356" s="2462"/>
      <c r="O356" s="2462"/>
      <c r="P356" s="2462"/>
      <c r="Q356" s="2462"/>
      <c r="R356" s="2462"/>
      <c r="S356" s="2462"/>
      <c r="T356" s="2462"/>
      <c r="U356" s="2462"/>
      <c r="V356" s="2462"/>
      <c r="W356" s="2462"/>
      <c r="X356" s="2462"/>
      <c r="Y356" s="2462"/>
      <c r="Z356" s="2462"/>
      <c r="AA356" s="2462"/>
      <c r="AB356" s="2462"/>
      <c r="AC356" s="2462"/>
      <c r="AD356" s="2462"/>
      <c r="AE356" s="2462"/>
      <c r="AF356" s="2462"/>
      <c r="AG356" s="2462"/>
      <c r="AH356" s="2462"/>
      <c r="AI356" s="2462"/>
      <c r="AJ356" s="2462"/>
      <c r="AK356" s="601"/>
      <c r="AL356" s="601"/>
      <c r="AM356" s="601"/>
      <c r="AN356" s="595"/>
    </row>
    <row r="357" spans="1:44" s="549" customFormat="1" ht="12.75" customHeight="1">
      <c r="A357" s="601"/>
      <c r="B357" s="609"/>
      <c r="C357" s="2462"/>
      <c r="D357" s="2462"/>
      <c r="E357" s="2462"/>
      <c r="F357" s="2462"/>
      <c r="G357" s="2462"/>
      <c r="H357" s="2462"/>
      <c r="I357" s="2462"/>
      <c r="J357" s="2462"/>
      <c r="K357" s="2462"/>
      <c r="L357" s="2462"/>
      <c r="M357" s="2462"/>
      <c r="N357" s="2462"/>
      <c r="O357" s="2462"/>
      <c r="P357" s="2462"/>
      <c r="Q357" s="2462"/>
      <c r="R357" s="2462"/>
      <c r="S357" s="2462"/>
      <c r="T357" s="2462"/>
      <c r="U357" s="2462"/>
      <c r="V357" s="2462"/>
      <c r="W357" s="2462"/>
      <c r="X357" s="2462"/>
      <c r="Y357" s="2462"/>
      <c r="Z357" s="2462"/>
      <c r="AA357" s="2462"/>
      <c r="AB357" s="2462"/>
      <c r="AC357" s="2462"/>
      <c r="AD357" s="2462"/>
      <c r="AE357" s="2462"/>
      <c r="AF357" s="2462"/>
      <c r="AG357" s="2462"/>
      <c r="AH357" s="2462"/>
      <c r="AI357" s="2462"/>
      <c r="AJ357" s="2462"/>
      <c r="AK357" s="601"/>
      <c r="AL357" s="601"/>
      <c r="AM357" s="601"/>
      <c r="AN357" s="595"/>
    </row>
    <row r="358" spans="1:44" s="549" customFormat="1" ht="12.75" customHeight="1">
      <c r="A358" s="601"/>
      <c r="B358" s="609"/>
      <c r="C358" s="2462"/>
      <c r="D358" s="2462"/>
      <c r="E358" s="2462"/>
      <c r="F358" s="2462"/>
      <c r="G358" s="2462"/>
      <c r="H358" s="2462"/>
      <c r="I358" s="2462"/>
      <c r="J358" s="2462"/>
      <c r="K358" s="2462"/>
      <c r="L358" s="2462"/>
      <c r="M358" s="2462"/>
      <c r="N358" s="2462"/>
      <c r="O358" s="2462"/>
      <c r="P358" s="2462"/>
      <c r="Q358" s="2462"/>
      <c r="R358" s="2462"/>
      <c r="S358" s="2462"/>
      <c r="T358" s="2462"/>
      <c r="U358" s="2462"/>
      <c r="V358" s="2462"/>
      <c r="W358" s="2462"/>
      <c r="X358" s="2462"/>
      <c r="Y358" s="2462"/>
      <c r="Z358" s="2462"/>
      <c r="AA358" s="2462"/>
      <c r="AB358" s="2462"/>
      <c r="AC358" s="2462"/>
      <c r="AD358" s="2462"/>
      <c r="AE358" s="2462"/>
      <c r="AF358" s="2462"/>
      <c r="AG358" s="2462"/>
      <c r="AH358" s="2462"/>
      <c r="AI358" s="2462"/>
      <c r="AJ358" s="2462"/>
      <c r="AK358" s="601"/>
      <c r="AL358" s="601"/>
      <c r="AM358" s="601"/>
      <c r="AN358" s="595"/>
      <c r="AQ358" s="568"/>
    </row>
    <row r="359" spans="1:44" s="549" customFormat="1" ht="12.75" customHeight="1">
      <c r="A359" s="601"/>
      <c r="B359" s="609"/>
      <c r="C359" s="2462"/>
      <c r="D359" s="2462"/>
      <c r="E359" s="2462"/>
      <c r="F359" s="2462"/>
      <c r="G359" s="2462"/>
      <c r="H359" s="2462"/>
      <c r="I359" s="2462"/>
      <c r="J359" s="2462"/>
      <c r="K359" s="2462"/>
      <c r="L359" s="2462"/>
      <c r="M359" s="2462"/>
      <c r="N359" s="2462"/>
      <c r="O359" s="2462"/>
      <c r="P359" s="2462"/>
      <c r="Q359" s="2462"/>
      <c r="R359" s="2462"/>
      <c r="S359" s="2462"/>
      <c r="T359" s="2462"/>
      <c r="U359" s="2462"/>
      <c r="V359" s="2462"/>
      <c r="W359" s="2462"/>
      <c r="X359" s="2462"/>
      <c r="Y359" s="2462"/>
      <c r="Z359" s="2462"/>
      <c r="AA359" s="2462"/>
      <c r="AB359" s="2462"/>
      <c r="AC359" s="2462"/>
      <c r="AD359" s="2462"/>
      <c r="AE359" s="2462"/>
      <c r="AF359" s="2462"/>
      <c r="AG359" s="2462"/>
      <c r="AH359" s="2462"/>
      <c r="AI359" s="2462"/>
      <c r="AJ359" s="2462"/>
      <c r="AK359" s="601"/>
      <c r="AL359" s="601"/>
      <c r="AM359" s="601"/>
      <c r="AN359" s="595"/>
      <c r="AQ359" s="568"/>
    </row>
    <row r="360" spans="1:44" s="549" customFormat="1" ht="12.4" customHeight="1">
      <c r="A360" s="601"/>
      <c r="B360" s="609"/>
      <c r="C360" s="2462"/>
      <c r="D360" s="2462"/>
      <c r="E360" s="2462"/>
      <c r="F360" s="2462"/>
      <c r="G360" s="2462"/>
      <c r="H360" s="2462"/>
      <c r="I360" s="2462"/>
      <c r="J360" s="2462"/>
      <c r="K360" s="2462"/>
      <c r="L360" s="2462"/>
      <c r="M360" s="2462"/>
      <c r="N360" s="2462"/>
      <c r="O360" s="2462"/>
      <c r="P360" s="2462"/>
      <c r="Q360" s="2462"/>
      <c r="R360" s="2462"/>
      <c r="S360" s="2462"/>
      <c r="T360" s="2462"/>
      <c r="U360" s="2462"/>
      <c r="V360" s="2462"/>
      <c r="W360" s="2462"/>
      <c r="X360" s="2462"/>
      <c r="Y360" s="2462"/>
      <c r="Z360" s="2462"/>
      <c r="AA360" s="2462"/>
      <c r="AB360" s="2462"/>
      <c r="AC360" s="2462"/>
      <c r="AD360" s="2462"/>
      <c r="AE360" s="2462"/>
      <c r="AF360" s="2462"/>
      <c r="AG360" s="2462"/>
      <c r="AH360" s="2462"/>
      <c r="AI360" s="2462"/>
      <c r="AJ360" s="2462"/>
      <c r="AK360" s="601"/>
      <c r="AL360" s="601"/>
      <c r="AM360" s="601"/>
      <c r="AN360" s="595"/>
      <c r="AQ360" s="568"/>
      <c r="AR360" s="568"/>
    </row>
    <row r="361" spans="1:44" s="549" customFormat="1" ht="45.75" customHeight="1">
      <c r="A361" s="601"/>
      <c r="B361" s="609"/>
      <c r="C361" s="2462" t="s">
        <v>2048</v>
      </c>
      <c r="D361" s="2462"/>
      <c r="E361" s="2462"/>
      <c r="F361" s="2462"/>
      <c r="G361" s="2462"/>
      <c r="H361" s="2462"/>
      <c r="I361" s="2462"/>
      <c r="J361" s="2462"/>
      <c r="K361" s="2462"/>
      <c r="L361" s="2462"/>
      <c r="M361" s="2462"/>
      <c r="N361" s="2462"/>
      <c r="O361" s="2462"/>
      <c r="P361" s="2462"/>
      <c r="Q361" s="2462"/>
      <c r="R361" s="2462"/>
      <c r="S361" s="2462"/>
      <c r="T361" s="2462"/>
      <c r="U361" s="2462"/>
      <c r="V361" s="2462"/>
      <c r="W361" s="2462"/>
      <c r="X361" s="2462"/>
      <c r="Y361" s="2462"/>
      <c r="Z361" s="2462"/>
      <c r="AA361" s="2462"/>
      <c r="AB361" s="2462"/>
      <c r="AC361" s="2462"/>
      <c r="AD361" s="2462"/>
      <c r="AE361" s="2462"/>
      <c r="AF361" s="2462"/>
      <c r="AG361" s="2462"/>
      <c r="AH361" s="2462"/>
      <c r="AI361" s="2462"/>
      <c r="AJ361" s="2462"/>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2" t="s">
        <v>2162</v>
      </c>
      <c r="D363" s="2462"/>
      <c r="E363" s="2462"/>
      <c r="F363" s="2462"/>
      <c r="G363" s="2462"/>
      <c r="H363" s="2462"/>
      <c r="I363" s="2462"/>
      <c r="J363" s="2462"/>
      <c r="K363" s="2462"/>
      <c r="L363" s="2462"/>
      <c r="M363" s="2462"/>
      <c r="N363" s="2462"/>
      <c r="O363" s="2462"/>
      <c r="P363" s="2462"/>
      <c r="Q363" s="2462"/>
      <c r="R363" s="2462"/>
      <c r="S363" s="2462"/>
      <c r="T363" s="2462"/>
      <c r="U363" s="2462"/>
      <c r="V363" s="2462"/>
      <c r="W363" s="2462"/>
      <c r="X363" s="2462"/>
      <c r="Y363" s="2462"/>
      <c r="Z363" s="2462"/>
      <c r="AA363" s="2462"/>
      <c r="AB363" s="2462"/>
      <c r="AC363" s="2462"/>
      <c r="AD363" s="2462"/>
      <c r="AE363" s="2462"/>
      <c r="AF363" s="2462"/>
      <c r="AG363" s="2462"/>
      <c r="AH363" s="2462"/>
      <c r="AI363" s="2462"/>
      <c r="AJ363" s="2462"/>
      <c r="AK363" s="601"/>
      <c r="AL363" s="601"/>
      <c r="AM363" s="601"/>
      <c r="AN363" s="595"/>
      <c r="AQ363" s="568"/>
      <c r="AR363" s="568"/>
    </row>
    <row r="364" spans="1:44" s="549" customFormat="1" ht="30" customHeight="1">
      <c r="A364" s="601"/>
      <c r="B364" s="609"/>
      <c r="C364" s="2462"/>
      <c r="D364" s="2462"/>
      <c r="E364" s="2462"/>
      <c r="F364" s="2462"/>
      <c r="G364" s="2462"/>
      <c r="H364" s="2462"/>
      <c r="I364" s="2462"/>
      <c r="J364" s="2462"/>
      <c r="K364" s="2462"/>
      <c r="L364" s="2462"/>
      <c r="M364" s="2462"/>
      <c r="N364" s="2462"/>
      <c r="O364" s="2462"/>
      <c r="P364" s="2462"/>
      <c r="Q364" s="2462"/>
      <c r="R364" s="2462"/>
      <c r="S364" s="2462"/>
      <c r="T364" s="2462"/>
      <c r="U364" s="2462"/>
      <c r="V364" s="2462"/>
      <c r="W364" s="2462"/>
      <c r="X364" s="2462"/>
      <c r="Y364" s="2462"/>
      <c r="Z364" s="2462"/>
      <c r="AA364" s="2462"/>
      <c r="AB364" s="2462"/>
      <c r="AC364" s="2462"/>
      <c r="AD364" s="2462"/>
      <c r="AE364" s="2462"/>
      <c r="AF364" s="2462"/>
      <c r="AG364" s="2462"/>
      <c r="AH364" s="2462"/>
      <c r="AI364" s="2462"/>
      <c r="AJ364" s="2462"/>
      <c r="AK364" s="601"/>
      <c r="AL364" s="601"/>
      <c r="AM364" s="601"/>
      <c r="AN364" s="595"/>
      <c r="AR364" s="568"/>
    </row>
    <row r="365" spans="1:44" s="549" customFormat="1" ht="12.75" customHeight="1">
      <c r="A365" s="601"/>
      <c r="B365" s="609"/>
      <c r="C365" s="2462"/>
      <c r="D365" s="2462"/>
      <c r="E365" s="2462"/>
      <c r="F365" s="2462"/>
      <c r="G365" s="2462"/>
      <c r="H365" s="2462"/>
      <c r="I365" s="2462"/>
      <c r="J365" s="2462"/>
      <c r="K365" s="2462"/>
      <c r="L365" s="2462"/>
      <c r="M365" s="2462"/>
      <c r="N365" s="2462"/>
      <c r="O365" s="2462"/>
      <c r="P365" s="2462"/>
      <c r="Q365" s="2462"/>
      <c r="R365" s="2462"/>
      <c r="S365" s="2462"/>
      <c r="T365" s="2462"/>
      <c r="U365" s="2462"/>
      <c r="V365" s="2462"/>
      <c r="W365" s="2462"/>
      <c r="X365" s="2462"/>
      <c r="Y365" s="2462"/>
      <c r="Z365" s="2462"/>
      <c r="AA365" s="2462"/>
      <c r="AB365" s="2462"/>
      <c r="AC365" s="2462"/>
      <c r="AD365" s="2462"/>
      <c r="AE365" s="2462"/>
      <c r="AF365" s="2462"/>
      <c r="AG365" s="2462"/>
      <c r="AH365" s="2462"/>
      <c r="AI365" s="2462"/>
      <c r="AJ365" s="2462"/>
      <c r="AK365" s="601"/>
      <c r="AL365" s="601"/>
      <c r="AM365" s="601"/>
      <c r="AN365" s="595"/>
      <c r="AR365" s="568"/>
    </row>
    <row r="366" spans="1:44" s="549" customFormat="1" ht="12.75" customHeight="1">
      <c r="A366" s="601"/>
      <c r="B366" s="609"/>
      <c r="C366" s="2462" t="s">
        <v>1445</v>
      </c>
      <c r="D366" s="2462"/>
      <c r="E366" s="2462"/>
      <c r="F366" s="2462"/>
      <c r="G366" s="2462"/>
      <c r="H366" s="2462"/>
      <c r="I366" s="2462"/>
      <c r="J366" s="2462"/>
      <c r="K366" s="2462"/>
      <c r="L366" s="2462"/>
      <c r="M366" s="2462"/>
      <c r="N366" s="2462"/>
      <c r="O366" s="2462"/>
      <c r="P366" s="2462"/>
      <c r="Q366" s="2462"/>
      <c r="R366" s="2462"/>
      <c r="S366" s="2462"/>
      <c r="T366" s="2462"/>
      <c r="U366" s="2462"/>
      <c r="V366" s="2462"/>
      <c r="W366" s="2462"/>
      <c r="X366" s="2462"/>
      <c r="Y366" s="2462"/>
      <c r="Z366" s="2462"/>
      <c r="AA366" s="2462"/>
      <c r="AB366" s="2462"/>
      <c r="AC366" s="2462"/>
      <c r="AD366" s="2462"/>
      <c r="AE366" s="2462"/>
      <c r="AF366" s="2462"/>
      <c r="AG366" s="2462"/>
      <c r="AH366" s="2462"/>
      <c r="AI366" s="2462"/>
      <c r="AJ366" s="2462"/>
      <c r="AK366" s="601"/>
      <c r="AL366" s="601"/>
      <c r="AM366" s="601"/>
      <c r="AN366" s="595"/>
      <c r="AQ366" s="568"/>
      <c r="AR366" s="568"/>
    </row>
    <row r="367" spans="1:44" s="549" customFormat="1" ht="12.75" customHeight="1">
      <c r="A367" s="601"/>
      <c r="B367" s="609"/>
      <c r="C367" s="2462"/>
      <c r="D367" s="2462"/>
      <c r="E367" s="2462"/>
      <c r="F367" s="2462"/>
      <c r="G367" s="2462"/>
      <c r="H367" s="2462"/>
      <c r="I367" s="2462"/>
      <c r="J367" s="2462"/>
      <c r="K367" s="2462"/>
      <c r="L367" s="2462"/>
      <c r="M367" s="2462"/>
      <c r="N367" s="2462"/>
      <c r="O367" s="2462"/>
      <c r="P367" s="2462"/>
      <c r="Q367" s="2462"/>
      <c r="R367" s="2462"/>
      <c r="S367" s="2462"/>
      <c r="T367" s="2462"/>
      <c r="U367" s="2462"/>
      <c r="V367" s="2462"/>
      <c r="W367" s="2462"/>
      <c r="X367" s="2462"/>
      <c r="Y367" s="2462"/>
      <c r="Z367" s="2462"/>
      <c r="AA367" s="2462"/>
      <c r="AB367" s="2462"/>
      <c r="AC367" s="2462"/>
      <c r="AD367" s="2462"/>
      <c r="AE367" s="2462"/>
      <c r="AF367" s="2462"/>
      <c r="AG367" s="2462"/>
      <c r="AH367" s="2462"/>
      <c r="AI367" s="2462"/>
      <c r="AJ367" s="2462"/>
      <c r="AK367" s="601"/>
      <c r="AL367" s="601"/>
      <c r="AM367" s="601"/>
      <c r="AN367" s="595"/>
      <c r="AQ367" s="568"/>
      <c r="AR367" s="568"/>
    </row>
    <row r="368" spans="1:44" s="549" customFormat="1" ht="13.15" customHeight="1">
      <c r="A368" s="601"/>
      <c r="B368" s="609"/>
      <c r="C368" s="2462"/>
      <c r="D368" s="2462"/>
      <c r="E368" s="2462"/>
      <c r="F368" s="2462"/>
      <c r="G368" s="2462"/>
      <c r="H368" s="2462"/>
      <c r="I368" s="2462"/>
      <c r="J368" s="2462"/>
      <c r="K368" s="2462"/>
      <c r="L368" s="2462"/>
      <c r="M368" s="2462"/>
      <c r="N368" s="2462"/>
      <c r="O368" s="2462"/>
      <c r="P368" s="2462"/>
      <c r="Q368" s="2462"/>
      <c r="R368" s="2462"/>
      <c r="S368" s="2462"/>
      <c r="T368" s="2462"/>
      <c r="U368" s="2462"/>
      <c r="V368" s="2462"/>
      <c r="W368" s="2462"/>
      <c r="X368" s="2462"/>
      <c r="Y368" s="2462"/>
      <c r="Z368" s="2462"/>
      <c r="AA368" s="2462"/>
      <c r="AB368" s="2462"/>
      <c r="AC368" s="2462"/>
      <c r="AD368" s="2462"/>
      <c r="AE368" s="2462"/>
      <c r="AF368" s="2462"/>
      <c r="AG368" s="2462"/>
      <c r="AH368" s="2462"/>
      <c r="AI368" s="2462"/>
      <c r="AJ368" s="2462"/>
      <c r="AK368" s="601"/>
      <c r="AL368" s="601"/>
      <c r="AM368" s="601"/>
      <c r="AN368" s="595"/>
      <c r="AQ368" s="568"/>
      <c r="AR368" s="568"/>
    </row>
    <row r="369" spans="1:46" s="549" customFormat="1" ht="12.75" customHeight="1">
      <c r="A369" s="601"/>
      <c r="B369" s="609"/>
      <c r="C369" s="2462"/>
      <c r="D369" s="2462"/>
      <c r="E369" s="2462"/>
      <c r="F369" s="2462"/>
      <c r="G369" s="2462"/>
      <c r="H369" s="2462"/>
      <c r="I369" s="2462"/>
      <c r="J369" s="2462"/>
      <c r="K369" s="2462"/>
      <c r="L369" s="2462"/>
      <c r="M369" s="2462"/>
      <c r="N369" s="2462"/>
      <c r="O369" s="2462"/>
      <c r="P369" s="2462"/>
      <c r="Q369" s="2462"/>
      <c r="R369" s="2462"/>
      <c r="S369" s="2462"/>
      <c r="T369" s="2462"/>
      <c r="U369" s="2462"/>
      <c r="V369" s="2462"/>
      <c r="W369" s="2462"/>
      <c r="X369" s="2462"/>
      <c r="Y369" s="2462"/>
      <c r="Z369" s="2462"/>
      <c r="AA369" s="2462"/>
      <c r="AB369" s="2462"/>
      <c r="AC369" s="2462"/>
      <c r="AD369" s="2462"/>
      <c r="AE369" s="2462"/>
      <c r="AF369" s="2462"/>
      <c r="AG369" s="2462"/>
      <c r="AH369" s="2462"/>
      <c r="AI369" s="2462"/>
      <c r="AJ369" s="2462"/>
      <c r="AK369" s="601"/>
      <c r="AL369" s="601"/>
      <c r="AM369" s="601"/>
      <c r="AN369" s="595"/>
      <c r="AO369" s="690"/>
      <c r="AP369" s="690"/>
      <c r="AQ369" s="568"/>
    </row>
    <row r="370" spans="1:46" s="549" customFormat="1" ht="11.85" customHeight="1">
      <c r="A370" s="601"/>
      <c r="B370" s="609"/>
      <c r="C370" s="2462"/>
      <c r="D370" s="2462"/>
      <c r="E370" s="2462"/>
      <c r="F370" s="2462"/>
      <c r="G370" s="2462"/>
      <c r="H370" s="2462"/>
      <c r="I370" s="2462"/>
      <c r="J370" s="2462"/>
      <c r="K370" s="2462"/>
      <c r="L370" s="2462"/>
      <c r="M370" s="2462"/>
      <c r="N370" s="2462"/>
      <c r="O370" s="2462"/>
      <c r="P370" s="2462"/>
      <c r="Q370" s="2462"/>
      <c r="R370" s="2462"/>
      <c r="S370" s="2462"/>
      <c r="T370" s="2462"/>
      <c r="U370" s="2462"/>
      <c r="V370" s="2462"/>
      <c r="W370" s="2462"/>
      <c r="X370" s="2462"/>
      <c r="Y370" s="2462"/>
      <c r="Z370" s="2462"/>
      <c r="AA370" s="2462"/>
      <c r="AB370" s="2462"/>
      <c r="AC370" s="2462"/>
      <c r="AD370" s="2462"/>
      <c r="AE370" s="2462"/>
      <c r="AF370" s="2462"/>
      <c r="AG370" s="2462"/>
      <c r="AH370" s="2462"/>
      <c r="AI370" s="2462"/>
      <c r="AJ370" s="2462"/>
      <c r="AK370" s="601"/>
      <c r="AL370" s="601"/>
      <c r="AM370" s="601"/>
      <c r="AN370" s="595"/>
      <c r="AO370" s="691" t="s">
        <v>112</v>
      </c>
      <c r="AP370" s="692">
        <f>IF(C394="Yes",5,0)</f>
        <v>0</v>
      </c>
      <c r="AS370" s="539" t="s">
        <v>1446</v>
      </c>
    </row>
    <row r="371" spans="1:46" s="549" customFormat="1" ht="12.75" customHeight="1">
      <c r="A371" s="601"/>
      <c r="B371" s="609"/>
      <c r="C371" s="2462"/>
      <c r="D371" s="2462"/>
      <c r="E371" s="2462"/>
      <c r="F371" s="2462"/>
      <c r="G371" s="2462"/>
      <c r="H371" s="2462"/>
      <c r="I371" s="2462"/>
      <c r="J371" s="2462"/>
      <c r="K371" s="2462"/>
      <c r="L371" s="2462"/>
      <c r="M371" s="2462"/>
      <c r="N371" s="2462"/>
      <c r="O371" s="2462"/>
      <c r="P371" s="2462"/>
      <c r="Q371" s="2462"/>
      <c r="R371" s="2462"/>
      <c r="S371" s="2462"/>
      <c r="T371" s="2462"/>
      <c r="U371" s="2462"/>
      <c r="V371" s="2462"/>
      <c r="W371" s="2462"/>
      <c r="X371" s="2462"/>
      <c r="Y371" s="2462"/>
      <c r="Z371" s="2462"/>
      <c r="AA371" s="2462"/>
      <c r="AB371" s="2462"/>
      <c r="AC371" s="2462"/>
      <c r="AD371" s="2462"/>
      <c r="AE371" s="2462"/>
      <c r="AF371" s="2462"/>
      <c r="AG371" s="2462"/>
      <c r="AH371" s="2462"/>
      <c r="AI371" s="2462"/>
      <c r="AJ371" s="2462"/>
      <c r="AK371" s="601"/>
      <c r="AL371" s="601"/>
      <c r="AM371" s="601"/>
      <c r="AN371" s="595"/>
      <c r="AO371" s="691" t="s">
        <v>113</v>
      </c>
      <c r="AP371" s="692">
        <f>IF(C402="Yes",5,0)</f>
        <v>0</v>
      </c>
      <c r="AS371" s="2530">
        <f>IF(Application!D211="Non-Targeted",(SUM(AQ379+AQ388)),AS375)</f>
        <v>10</v>
      </c>
      <c r="AT371" s="2530"/>
    </row>
    <row r="372" spans="1:46" s="549" customFormat="1" ht="12.75" customHeight="1">
      <c r="A372" s="601"/>
      <c r="B372" s="609"/>
      <c r="C372" s="2462"/>
      <c r="D372" s="2462"/>
      <c r="E372" s="2462"/>
      <c r="F372" s="2462"/>
      <c r="G372" s="2462"/>
      <c r="H372" s="2462"/>
      <c r="I372" s="2462"/>
      <c r="J372" s="2462"/>
      <c r="K372" s="2462"/>
      <c r="L372" s="2462"/>
      <c r="M372" s="2462"/>
      <c r="N372" s="2462"/>
      <c r="O372" s="2462"/>
      <c r="P372" s="2462"/>
      <c r="Q372" s="2462"/>
      <c r="R372" s="2462"/>
      <c r="S372" s="2462"/>
      <c r="T372" s="2462"/>
      <c r="U372" s="2462"/>
      <c r="V372" s="2462"/>
      <c r="W372" s="2462"/>
      <c r="X372" s="2462"/>
      <c r="Y372" s="2462"/>
      <c r="Z372" s="2462"/>
      <c r="AA372" s="2462"/>
      <c r="AB372" s="2462"/>
      <c r="AC372" s="2462"/>
      <c r="AD372" s="2462"/>
      <c r="AE372" s="2462"/>
      <c r="AF372" s="2462"/>
      <c r="AG372" s="2462"/>
      <c r="AH372" s="2462"/>
      <c r="AI372" s="2462"/>
      <c r="AJ372" s="2462"/>
      <c r="AK372" s="601"/>
      <c r="AL372" s="601"/>
      <c r="AM372" s="601"/>
      <c r="AN372" s="595"/>
      <c r="AO372" s="691" t="s">
        <v>119</v>
      </c>
      <c r="AP372" s="692">
        <f>IF(C410="Yes",7,0)</f>
        <v>7</v>
      </c>
      <c r="AS372" s="539" t="s">
        <v>1447</v>
      </c>
    </row>
    <row r="373" spans="1:46" s="549" customFormat="1" ht="12.75" customHeight="1">
      <c r="B373" s="609"/>
      <c r="C373" s="2462"/>
      <c r="D373" s="2462"/>
      <c r="E373" s="2462"/>
      <c r="F373" s="2462"/>
      <c r="G373" s="2462"/>
      <c r="H373" s="2462"/>
      <c r="I373" s="2462"/>
      <c r="J373" s="2462"/>
      <c r="K373" s="2462"/>
      <c r="L373" s="2462"/>
      <c r="M373" s="2462"/>
      <c r="N373" s="2462"/>
      <c r="O373" s="2462"/>
      <c r="P373" s="2462"/>
      <c r="Q373" s="2462"/>
      <c r="R373" s="2462"/>
      <c r="S373" s="2462"/>
      <c r="T373" s="2462"/>
      <c r="U373" s="2462"/>
      <c r="V373" s="2462"/>
      <c r="W373" s="2462"/>
      <c r="X373" s="2462"/>
      <c r="Y373" s="2462"/>
      <c r="Z373" s="2462"/>
      <c r="AA373" s="2462"/>
      <c r="AB373" s="2462"/>
      <c r="AC373" s="2462"/>
      <c r="AD373" s="2462"/>
      <c r="AE373" s="2462"/>
      <c r="AF373" s="2462"/>
      <c r="AG373" s="2462"/>
      <c r="AH373" s="2462"/>
      <c r="AI373" s="2462"/>
      <c r="AJ373" s="2462"/>
      <c r="AK373" s="601"/>
      <c r="AL373" s="601"/>
      <c r="AM373" s="601"/>
      <c r="AN373" s="595"/>
      <c r="AO373" s="595"/>
      <c r="AP373" s="692">
        <f>IF(C412="Yes",5,0)</f>
        <v>0</v>
      </c>
      <c r="AS373" s="2530">
        <f>IF(AND(AQ379&gt;0,AQ388&gt;0),(AQ379+AQ388)/2,0)</f>
        <v>0</v>
      </c>
      <c r="AT373" s="2530"/>
    </row>
    <row r="374" spans="1:46" s="549" customFormat="1" ht="12.75" customHeight="1">
      <c r="A374" s="601"/>
      <c r="B374" s="609"/>
      <c r="C374" s="2462"/>
      <c r="D374" s="2462"/>
      <c r="E374" s="2462"/>
      <c r="F374" s="2462"/>
      <c r="G374" s="2462"/>
      <c r="H374" s="2462"/>
      <c r="I374" s="2462"/>
      <c r="J374" s="2462"/>
      <c r="K374" s="2462"/>
      <c r="L374" s="2462"/>
      <c r="M374" s="2462"/>
      <c r="N374" s="2462"/>
      <c r="O374" s="2462"/>
      <c r="P374" s="2462"/>
      <c r="Q374" s="2462"/>
      <c r="R374" s="2462"/>
      <c r="S374" s="2462"/>
      <c r="T374" s="2462"/>
      <c r="U374" s="2462"/>
      <c r="V374" s="2462"/>
      <c r="W374" s="2462"/>
      <c r="X374" s="2462"/>
      <c r="Y374" s="2462"/>
      <c r="Z374" s="2462"/>
      <c r="AA374" s="2462"/>
      <c r="AB374" s="2462"/>
      <c r="AC374" s="2462"/>
      <c r="AD374" s="2462"/>
      <c r="AE374" s="2462"/>
      <c r="AF374" s="2462"/>
      <c r="AG374" s="2462"/>
      <c r="AH374" s="2462"/>
      <c r="AI374" s="2462"/>
      <c r="AJ374" s="2462"/>
      <c r="AK374" s="601"/>
      <c r="AL374" s="601"/>
      <c r="AM374" s="601"/>
      <c r="AN374" s="595"/>
      <c r="AO374" s="691" t="s">
        <v>581</v>
      </c>
      <c r="AP374" s="692">
        <f>IF(C420="Yes",5,0)</f>
        <v>0</v>
      </c>
      <c r="AS374" s="539" t="s">
        <v>1852</v>
      </c>
    </row>
    <row r="375" spans="1:46" s="549" customFormat="1" ht="12.75" customHeight="1">
      <c r="A375" s="601"/>
      <c r="B375" s="609"/>
      <c r="C375" s="2531" t="s">
        <v>2186</v>
      </c>
      <c r="D375" s="2531"/>
      <c r="E375" s="2531"/>
      <c r="F375" s="2531"/>
      <c r="G375" s="2531"/>
      <c r="H375" s="2531"/>
      <c r="I375" s="2531"/>
      <c r="J375" s="2531"/>
      <c r="K375" s="2531"/>
      <c r="L375" s="2531"/>
      <c r="M375" s="2531"/>
      <c r="N375" s="2531"/>
      <c r="O375" s="2531"/>
      <c r="P375" s="2531"/>
      <c r="Q375" s="2531"/>
      <c r="R375" s="2531"/>
      <c r="S375" s="2531"/>
      <c r="T375" s="2531"/>
      <c r="U375" s="2531"/>
      <c r="V375" s="2531"/>
      <c r="W375" s="2531"/>
      <c r="X375" s="2531"/>
      <c r="Y375" s="2531"/>
      <c r="Z375" s="2531"/>
      <c r="AA375" s="2531"/>
      <c r="AB375" s="2531"/>
      <c r="AC375" s="2531"/>
      <c r="AD375" s="2531"/>
      <c r="AE375" s="2531"/>
      <c r="AF375" s="2531"/>
      <c r="AG375" s="2531"/>
      <c r="AH375" s="2531"/>
      <c r="AI375" s="2531"/>
      <c r="AJ375" s="2531"/>
      <c r="AK375" s="601"/>
      <c r="AL375" s="601"/>
      <c r="AM375" s="601"/>
      <c r="AN375" s="595"/>
      <c r="AO375" s="595"/>
      <c r="AP375" s="692">
        <f>IF(C422="Yes",3,0)</f>
        <v>3</v>
      </c>
      <c r="AS375" s="2530">
        <f>IF(AQ379=0,AQ388,AQ379)</f>
        <v>10</v>
      </c>
      <c r="AT375" s="2530"/>
    </row>
    <row r="376" spans="1:46" s="549" customFormat="1" ht="12.75" customHeight="1">
      <c r="A376" s="601"/>
      <c r="B376" s="609"/>
      <c r="C376" s="2531"/>
      <c r="D376" s="2531"/>
      <c r="E376" s="2531"/>
      <c r="F376" s="2531"/>
      <c r="G376" s="2531"/>
      <c r="H376" s="2531"/>
      <c r="I376" s="2531"/>
      <c r="J376" s="2531"/>
      <c r="K376" s="2531"/>
      <c r="L376" s="2531"/>
      <c r="M376" s="2531"/>
      <c r="N376" s="2531"/>
      <c r="O376" s="2531"/>
      <c r="P376" s="2531"/>
      <c r="Q376" s="2531"/>
      <c r="R376" s="2531"/>
      <c r="S376" s="2531"/>
      <c r="T376" s="2531"/>
      <c r="U376" s="2531"/>
      <c r="V376" s="2531"/>
      <c r="W376" s="2531"/>
      <c r="X376" s="2531"/>
      <c r="Y376" s="2531"/>
      <c r="Z376" s="2531"/>
      <c r="AA376" s="2531"/>
      <c r="AB376" s="2531"/>
      <c r="AC376" s="2531"/>
      <c r="AD376" s="2531"/>
      <c r="AE376" s="2531"/>
      <c r="AF376" s="2531"/>
      <c r="AG376" s="2531"/>
      <c r="AH376" s="2531"/>
      <c r="AI376" s="2531"/>
      <c r="AJ376" s="2531"/>
      <c r="AK376" s="601"/>
      <c r="AL376" s="601"/>
      <c r="AM376" s="601"/>
      <c r="AN376" s="595"/>
      <c r="AO376" s="691" t="s">
        <v>763</v>
      </c>
      <c r="AP376" s="692">
        <f>IF(C425="Yes",5,0)</f>
        <v>0</v>
      </c>
    </row>
    <row r="377" spans="1:46" s="549" customFormat="1" ht="12.75" customHeight="1">
      <c r="A377" s="601"/>
      <c r="B377" s="609"/>
      <c r="C377" s="2531"/>
      <c r="D377" s="2531"/>
      <c r="E377" s="2531"/>
      <c r="F377" s="2531"/>
      <c r="G377" s="2531"/>
      <c r="H377" s="2531"/>
      <c r="I377" s="2531"/>
      <c r="J377" s="2531"/>
      <c r="K377" s="2531"/>
      <c r="L377" s="2531"/>
      <c r="M377" s="2531"/>
      <c r="N377" s="2531"/>
      <c r="O377" s="2531"/>
      <c r="P377" s="2531"/>
      <c r="Q377" s="2531"/>
      <c r="R377" s="2531"/>
      <c r="S377" s="2531"/>
      <c r="T377" s="2531"/>
      <c r="U377" s="2531"/>
      <c r="V377" s="2531"/>
      <c r="W377" s="2531"/>
      <c r="X377" s="2531"/>
      <c r="Y377" s="2531"/>
      <c r="Z377" s="2531"/>
      <c r="AA377" s="2531"/>
      <c r="AB377" s="2531"/>
      <c r="AC377" s="2531"/>
      <c r="AD377" s="2531"/>
      <c r="AE377" s="2531"/>
      <c r="AF377" s="2531"/>
      <c r="AG377" s="2531"/>
      <c r="AH377" s="2531"/>
      <c r="AI377" s="2531"/>
      <c r="AJ377" s="2531"/>
      <c r="AK377" s="601"/>
      <c r="AL377" s="601"/>
      <c r="AM377" s="601"/>
      <c r="AN377" s="595"/>
      <c r="AO377" s="691" t="s">
        <v>584</v>
      </c>
      <c r="AP377" s="692">
        <f>IF(C434="Yes",5,0)</f>
        <v>0</v>
      </c>
    </row>
    <row r="378" spans="1:46" s="549" customFormat="1" ht="11.85" customHeight="1">
      <c r="A378" s="601"/>
      <c r="B378" s="609"/>
      <c r="C378" s="2531"/>
      <c r="D378" s="2531"/>
      <c r="E378" s="2531"/>
      <c r="F378" s="2531"/>
      <c r="G378" s="2531"/>
      <c r="H378" s="2531"/>
      <c r="I378" s="2531"/>
      <c r="J378" s="2531"/>
      <c r="K378" s="2531"/>
      <c r="L378" s="2531"/>
      <c r="M378" s="2531"/>
      <c r="N378" s="2531"/>
      <c r="O378" s="2531"/>
      <c r="P378" s="2531"/>
      <c r="Q378" s="2531"/>
      <c r="R378" s="2531"/>
      <c r="S378" s="2531"/>
      <c r="T378" s="2531"/>
      <c r="U378" s="2531"/>
      <c r="V378" s="2531"/>
      <c r="W378" s="2531"/>
      <c r="X378" s="2531"/>
      <c r="Y378" s="2531"/>
      <c r="Z378" s="2531"/>
      <c r="AA378" s="2531"/>
      <c r="AB378" s="2531"/>
      <c r="AC378" s="2531"/>
      <c r="AD378" s="2531"/>
      <c r="AE378" s="2531"/>
      <c r="AF378" s="2531"/>
      <c r="AG378" s="2531"/>
      <c r="AH378" s="2531"/>
      <c r="AI378" s="2531"/>
      <c r="AJ378" s="2531"/>
      <c r="AK378" s="601"/>
      <c r="AL378" s="601"/>
      <c r="AM378" s="601"/>
      <c r="AN378" s="595"/>
      <c r="AO378" s="693"/>
      <c r="AP378" s="694">
        <f>IF(C436="Yes",3,0)</f>
        <v>0</v>
      </c>
    </row>
    <row r="379" spans="1:46" s="549" customFormat="1" ht="12.4" customHeight="1">
      <c r="A379" s="601"/>
      <c r="B379" s="609"/>
      <c r="C379" s="2531"/>
      <c r="D379" s="2531"/>
      <c r="E379" s="2531"/>
      <c r="F379" s="2531"/>
      <c r="G379" s="2531"/>
      <c r="H379" s="2531"/>
      <c r="I379" s="2531"/>
      <c r="J379" s="2531"/>
      <c r="K379" s="2531"/>
      <c r="L379" s="2531"/>
      <c r="M379" s="2531"/>
      <c r="N379" s="2531"/>
      <c r="O379" s="2531"/>
      <c r="P379" s="2531"/>
      <c r="Q379" s="2531"/>
      <c r="R379" s="2531"/>
      <c r="S379" s="2531"/>
      <c r="T379" s="2531"/>
      <c r="U379" s="2531"/>
      <c r="V379" s="2531"/>
      <c r="W379" s="2531"/>
      <c r="X379" s="2531"/>
      <c r="Y379" s="2531"/>
      <c r="Z379" s="2531"/>
      <c r="AA379" s="2531"/>
      <c r="AB379" s="2531"/>
      <c r="AC379" s="2531"/>
      <c r="AD379" s="2531"/>
      <c r="AE379" s="2531"/>
      <c r="AF379" s="2531"/>
      <c r="AG379" s="2531"/>
      <c r="AH379" s="2531"/>
      <c r="AI379" s="2531"/>
      <c r="AJ379" s="2531"/>
      <c r="AK379" s="601"/>
      <c r="AL379" s="601"/>
      <c r="AM379" s="601"/>
      <c r="AN379" s="595"/>
      <c r="AO379" s="695" t="s">
        <v>227</v>
      </c>
      <c r="AP379" s="696">
        <f>SUM(AP370:AP378)</f>
        <v>10</v>
      </c>
      <c r="AQ379" s="2465">
        <f>IF(AP379&gt;0,AP379,0)</f>
        <v>10</v>
      </c>
      <c r="AR379" s="2465"/>
    </row>
    <row r="380" spans="1:46" s="549" customFormat="1" ht="12.75" customHeight="1">
      <c r="A380" s="601"/>
      <c r="B380" s="609"/>
      <c r="C380" s="2531"/>
      <c r="D380" s="2531"/>
      <c r="E380" s="2531"/>
      <c r="F380" s="2531"/>
      <c r="G380" s="2531"/>
      <c r="H380" s="2531"/>
      <c r="I380" s="2531"/>
      <c r="J380" s="2531"/>
      <c r="K380" s="2531"/>
      <c r="L380" s="2531"/>
      <c r="M380" s="2531"/>
      <c r="N380" s="2531"/>
      <c r="O380" s="2531"/>
      <c r="P380" s="2531"/>
      <c r="Q380" s="2531"/>
      <c r="R380" s="2531"/>
      <c r="S380" s="2531"/>
      <c r="T380" s="2531"/>
      <c r="U380" s="2531"/>
      <c r="V380" s="2531"/>
      <c r="W380" s="2531"/>
      <c r="X380" s="2531"/>
      <c r="Y380" s="2531"/>
      <c r="Z380" s="2531"/>
      <c r="AA380" s="2531"/>
      <c r="AB380" s="2531"/>
      <c r="AC380" s="2531"/>
      <c r="AD380" s="2531"/>
      <c r="AE380" s="2531"/>
      <c r="AF380" s="2531"/>
      <c r="AG380" s="2531"/>
      <c r="AH380" s="2531"/>
      <c r="AI380" s="2531"/>
      <c r="AJ380" s="2531"/>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62" t="s">
        <v>1448</v>
      </c>
      <c r="D382" s="2462"/>
      <c r="E382" s="2462"/>
      <c r="F382" s="2462"/>
      <c r="G382" s="2462"/>
      <c r="H382" s="2462"/>
      <c r="I382" s="2462"/>
      <c r="J382" s="2462"/>
      <c r="K382" s="2462"/>
      <c r="L382" s="2462"/>
      <c r="M382" s="2462"/>
      <c r="N382" s="2462"/>
      <c r="O382" s="2462"/>
      <c r="P382" s="2462"/>
      <c r="Q382" s="2462"/>
      <c r="R382" s="2462"/>
      <c r="S382" s="2462"/>
      <c r="T382" s="2462"/>
      <c r="U382" s="2462"/>
      <c r="V382" s="2462"/>
      <c r="W382" s="2462"/>
      <c r="X382" s="2462"/>
      <c r="Y382" s="2462"/>
      <c r="Z382" s="2462"/>
      <c r="AA382" s="2462"/>
      <c r="AB382" s="2462"/>
      <c r="AC382" s="2462"/>
      <c r="AD382" s="2462"/>
      <c r="AE382" s="2462"/>
      <c r="AF382" s="2462"/>
      <c r="AG382" s="2462"/>
      <c r="AH382" s="2462"/>
      <c r="AI382" s="2462"/>
      <c r="AJ382" s="2462"/>
      <c r="AK382" s="601"/>
      <c r="AL382" s="601"/>
      <c r="AM382" s="601"/>
      <c r="AN382" s="595"/>
      <c r="AO382" s="691" t="s">
        <v>456</v>
      </c>
      <c r="AP382" s="692">
        <f>IF(C455="Yes",5,0)</f>
        <v>0</v>
      </c>
    </row>
    <row r="383" spans="1:46" s="549" customFormat="1" ht="12.75" customHeight="1">
      <c r="A383" s="601"/>
      <c r="B383" s="609"/>
      <c r="C383" s="2462"/>
      <c r="D383" s="2462"/>
      <c r="E383" s="2462"/>
      <c r="F383" s="2462"/>
      <c r="G383" s="2462"/>
      <c r="H383" s="2462"/>
      <c r="I383" s="2462"/>
      <c r="J383" s="2462"/>
      <c r="K383" s="2462"/>
      <c r="L383" s="2462"/>
      <c r="M383" s="2462"/>
      <c r="N383" s="2462"/>
      <c r="O383" s="2462"/>
      <c r="P383" s="2462"/>
      <c r="Q383" s="2462"/>
      <c r="R383" s="2462"/>
      <c r="S383" s="2462"/>
      <c r="T383" s="2462"/>
      <c r="U383" s="2462"/>
      <c r="V383" s="2462"/>
      <c r="W383" s="2462"/>
      <c r="X383" s="2462"/>
      <c r="Y383" s="2462"/>
      <c r="Z383" s="2462"/>
      <c r="AA383" s="2462"/>
      <c r="AB383" s="2462"/>
      <c r="AC383" s="2462"/>
      <c r="AD383" s="2462"/>
      <c r="AE383" s="2462"/>
      <c r="AF383" s="2462"/>
      <c r="AG383" s="2462"/>
      <c r="AH383" s="2462"/>
      <c r="AI383" s="2462"/>
      <c r="AJ383" s="2462"/>
      <c r="AK383" s="601"/>
      <c r="AL383" s="601"/>
      <c r="AM383" s="601"/>
      <c r="AN383" s="595"/>
      <c r="AO383" s="691" t="s">
        <v>461</v>
      </c>
      <c r="AP383" s="692">
        <f>IF(C462="Yes",5,0)</f>
        <v>0</v>
      </c>
    </row>
    <row r="384" spans="1:46" s="549" customFormat="1" ht="68.099999999999994" customHeight="1">
      <c r="A384" s="601"/>
      <c r="B384" s="609"/>
      <c r="C384" s="2462"/>
      <c r="D384" s="2462"/>
      <c r="E384" s="2462"/>
      <c r="F384" s="2462"/>
      <c r="G384" s="2462"/>
      <c r="H384" s="2462"/>
      <c r="I384" s="2462"/>
      <c r="J384" s="2462"/>
      <c r="K384" s="2462"/>
      <c r="L384" s="2462"/>
      <c r="M384" s="2462"/>
      <c r="N384" s="2462"/>
      <c r="O384" s="2462"/>
      <c r="P384" s="2462"/>
      <c r="Q384" s="2462"/>
      <c r="R384" s="2462"/>
      <c r="S384" s="2462"/>
      <c r="T384" s="2462"/>
      <c r="U384" s="2462"/>
      <c r="V384" s="2462"/>
      <c r="W384" s="2462"/>
      <c r="X384" s="2462"/>
      <c r="Y384" s="2462"/>
      <c r="Z384" s="2462"/>
      <c r="AA384" s="2462"/>
      <c r="AB384" s="2462"/>
      <c r="AC384" s="2462"/>
      <c r="AD384" s="2462"/>
      <c r="AE384" s="2462"/>
      <c r="AF384" s="2462"/>
      <c r="AG384" s="2462"/>
      <c r="AH384" s="2462"/>
      <c r="AI384" s="2462"/>
      <c r="AJ384" s="2462"/>
      <c r="AK384" s="601"/>
      <c r="AL384" s="601"/>
      <c r="AM384" s="601"/>
      <c r="AN384" s="595"/>
      <c r="AO384" s="691" t="s">
        <v>646</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63">
        <f>Application!DU810-U387</f>
        <v>243</v>
      </c>
      <c r="V386" s="2463"/>
      <c r="W386" s="2463"/>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64">
        <f>IF(Application!D211="SRO",Application!DU763,Application!AG764)</f>
        <v>0</v>
      </c>
      <c r="V387" s="2464"/>
      <c r="W387" s="2464"/>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5">
        <f>IF(AP388&gt;0,AP388,0)</f>
        <v>0</v>
      </c>
      <c r="AR388" s="2465"/>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41" t="s">
        <v>1450</v>
      </c>
      <c r="G390" s="2441"/>
      <c r="H390" s="2441"/>
      <c r="I390" s="2441"/>
      <c r="J390" s="2441"/>
      <c r="K390" s="2441"/>
      <c r="L390" s="2441"/>
      <c r="M390" s="2441"/>
      <c r="N390" s="2441"/>
      <c r="O390" s="2441"/>
      <c r="P390" s="2441"/>
      <c r="Q390" s="2441"/>
      <c r="R390" s="2441"/>
      <c r="S390" s="2441"/>
      <c r="T390" s="2441"/>
      <c r="U390" s="2441"/>
      <c r="V390" s="2441"/>
      <c r="W390" s="2441"/>
      <c r="X390" s="2441"/>
      <c r="Y390" s="2441"/>
      <c r="Z390" s="2441"/>
      <c r="AA390" s="2441"/>
      <c r="AB390" s="2441"/>
      <c r="AC390" s="2441"/>
      <c r="AD390" s="2441"/>
      <c r="AE390" s="2441"/>
      <c r="AF390" s="2441"/>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2"/>
      <c r="G391" s="2442"/>
      <c r="H391" s="2442"/>
      <c r="I391" s="2442"/>
      <c r="J391" s="2442"/>
      <c r="K391" s="2442"/>
      <c r="L391" s="2442"/>
      <c r="M391" s="2442"/>
      <c r="N391" s="2442"/>
      <c r="O391" s="2442"/>
      <c r="P391" s="2442"/>
      <c r="Q391" s="2442"/>
      <c r="R391" s="2442"/>
      <c r="S391" s="2442"/>
      <c r="T391" s="2442"/>
      <c r="U391" s="2442"/>
      <c r="V391" s="2442"/>
      <c r="W391" s="2442"/>
      <c r="X391" s="2442"/>
      <c r="Y391" s="2442"/>
      <c r="Z391" s="2442"/>
      <c r="AA391" s="2442"/>
      <c r="AB391" s="2442"/>
      <c r="AC391" s="2442"/>
      <c r="AD391" s="2442"/>
      <c r="AE391" s="2442"/>
      <c r="AF391" s="2442"/>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2"/>
      <c r="G392" s="2442"/>
      <c r="H392" s="2442"/>
      <c r="I392" s="2442"/>
      <c r="J392" s="2442"/>
      <c r="K392" s="2442"/>
      <c r="L392" s="2442"/>
      <c r="M392" s="2442"/>
      <c r="N392" s="2442"/>
      <c r="O392" s="2442"/>
      <c r="P392" s="2442"/>
      <c r="Q392" s="2442"/>
      <c r="R392" s="2442"/>
      <c r="S392" s="2442"/>
      <c r="T392" s="2442"/>
      <c r="U392" s="2442"/>
      <c r="V392" s="2442"/>
      <c r="W392" s="2442"/>
      <c r="X392" s="2442"/>
      <c r="Y392" s="2442"/>
      <c r="Z392" s="2442"/>
      <c r="AA392" s="2442"/>
      <c r="AB392" s="2442"/>
      <c r="AC392" s="2442"/>
      <c r="AD392" s="2442"/>
      <c r="AE392" s="2442"/>
      <c r="AF392" s="2442"/>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2"/>
      <c r="G393" s="2442"/>
      <c r="H393" s="2442"/>
      <c r="I393" s="2442"/>
      <c r="J393" s="2442"/>
      <c r="K393" s="2442"/>
      <c r="L393" s="2442"/>
      <c r="M393" s="2442"/>
      <c r="N393" s="2442"/>
      <c r="O393" s="2442"/>
      <c r="P393" s="2442"/>
      <c r="Q393" s="2442"/>
      <c r="R393" s="2442"/>
      <c r="S393" s="2442"/>
      <c r="T393" s="2442"/>
      <c r="U393" s="2442"/>
      <c r="V393" s="2442"/>
      <c r="W393" s="2442"/>
      <c r="X393" s="2442"/>
      <c r="Y393" s="2442"/>
      <c r="Z393" s="2442"/>
      <c r="AA393" s="2442"/>
      <c r="AB393" s="2442"/>
      <c r="AC393" s="2442"/>
      <c r="AD393" s="2442"/>
      <c r="AE393" s="2442"/>
      <c r="AF393" s="2442"/>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6" t="s">
        <v>591</v>
      </c>
      <c r="D394" s="2413"/>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7" t="s">
        <v>1452</v>
      </c>
      <c r="AG394" s="2467"/>
      <c r="AH394" s="2467"/>
      <c r="AI394" s="2467"/>
      <c r="AJ394" s="2467"/>
      <c r="AK394" s="2467"/>
      <c r="AL394" s="2468"/>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41" t="s">
        <v>1453</v>
      </c>
      <c r="G397" s="2441"/>
      <c r="H397" s="2441"/>
      <c r="I397" s="2441"/>
      <c r="J397" s="2441"/>
      <c r="K397" s="2441"/>
      <c r="L397" s="2441"/>
      <c r="M397" s="2441"/>
      <c r="N397" s="2441"/>
      <c r="O397" s="2441"/>
      <c r="P397" s="2441"/>
      <c r="Q397" s="2441"/>
      <c r="R397" s="2441"/>
      <c r="S397" s="2441"/>
      <c r="T397" s="2441"/>
      <c r="U397" s="2441"/>
      <c r="V397" s="2441"/>
      <c r="W397" s="2441"/>
      <c r="X397" s="2441"/>
      <c r="Y397" s="2441"/>
      <c r="Z397" s="2441"/>
      <c r="AA397" s="2441"/>
      <c r="AB397" s="2441"/>
      <c r="AC397" s="2441"/>
      <c r="AD397" s="2441"/>
      <c r="AE397" s="2441"/>
      <c r="AF397" s="2441"/>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2"/>
      <c r="G398" s="2442"/>
      <c r="H398" s="2442"/>
      <c r="I398" s="2442"/>
      <c r="J398" s="2442"/>
      <c r="K398" s="2442"/>
      <c r="L398" s="2442"/>
      <c r="M398" s="2442"/>
      <c r="N398" s="2442"/>
      <c r="O398" s="2442"/>
      <c r="P398" s="2442"/>
      <c r="Q398" s="2442"/>
      <c r="R398" s="2442"/>
      <c r="S398" s="2442"/>
      <c r="T398" s="2442"/>
      <c r="U398" s="2442"/>
      <c r="V398" s="2442"/>
      <c r="W398" s="2442"/>
      <c r="X398" s="2442"/>
      <c r="Y398" s="2442"/>
      <c r="Z398" s="2442"/>
      <c r="AA398" s="2442"/>
      <c r="AB398" s="2442"/>
      <c r="AC398" s="2442"/>
      <c r="AD398" s="2442"/>
      <c r="AE398" s="2442"/>
      <c r="AF398" s="2442"/>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2"/>
      <c r="G399" s="2442"/>
      <c r="H399" s="2442"/>
      <c r="I399" s="2442"/>
      <c r="J399" s="2442"/>
      <c r="K399" s="2442"/>
      <c r="L399" s="2442"/>
      <c r="M399" s="2442"/>
      <c r="N399" s="2442"/>
      <c r="O399" s="2442"/>
      <c r="P399" s="2442"/>
      <c r="Q399" s="2442"/>
      <c r="R399" s="2442"/>
      <c r="S399" s="2442"/>
      <c r="T399" s="2442"/>
      <c r="U399" s="2442"/>
      <c r="V399" s="2442"/>
      <c r="W399" s="2442"/>
      <c r="X399" s="2442"/>
      <c r="Y399" s="2442"/>
      <c r="Z399" s="2442"/>
      <c r="AA399" s="2442"/>
      <c r="AB399" s="2442"/>
      <c r="AC399" s="2442"/>
      <c r="AD399" s="2442"/>
      <c r="AE399" s="2442"/>
      <c r="AF399" s="2442"/>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2"/>
      <c r="G400" s="2442"/>
      <c r="H400" s="2442"/>
      <c r="I400" s="2442"/>
      <c r="J400" s="2442"/>
      <c r="K400" s="2442"/>
      <c r="L400" s="2442"/>
      <c r="M400" s="2442"/>
      <c r="N400" s="2442"/>
      <c r="O400" s="2442"/>
      <c r="P400" s="2442"/>
      <c r="Q400" s="2442"/>
      <c r="R400" s="2442"/>
      <c r="S400" s="2442"/>
      <c r="T400" s="2442"/>
      <c r="U400" s="2442"/>
      <c r="V400" s="2442"/>
      <c r="W400" s="2442"/>
      <c r="X400" s="2442"/>
      <c r="Y400" s="2442"/>
      <c r="Z400" s="2442"/>
      <c r="AA400" s="2442"/>
      <c r="AB400" s="2442"/>
      <c r="AC400" s="2442"/>
      <c r="AD400" s="2442"/>
      <c r="AE400" s="2442"/>
      <c r="AF400" s="2442"/>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2"/>
      <c r="G401" s="2442"/>
      <c r="H401" s="2442"/>
      <c r="I401" s="2442"/>
      <c r="J401" s="2442"/>
      <c r="K401" s="2442"/>
      <c r="L401" s="2442"/>
      <c r="M401" s="2442"/>
      <c r="N401" s="2442"/>
      <c r="O401" s="2442"/>
      <c r="P401" s="2442"/>
      <c r="Q401" s="2442"/>
      <c r="R401" s="2442"/>
      <c r="S401" s="2442"/>
      <c r="T401" s="2442"/>
      <c r="U401" s="2442"/>
      <c r="V401" s="2442"/>
      <c r="W401" s="2442"/>
      <c r="X401" s="2442"/>
      <c r="Y401" s="2442"/>
      <c r="Z401" s="2442"/>
      <c r="AA401" s="2442"/>
      <c r="AB401" s="2442"/>
      <c r="AC401" s="2442"/>
      <c r="AD401" s="2442"/>
      <c r="AE401" s="2442"/>
      <c r="AF401" s="2442"/>
      <c r="AL401" s="728"/>
      <c r="AN401" s="595"/>
      <c r="BS401" s="30"/>
      <c r="BT401" s="30"/>
      <c r="BU401" s="14"/>
      <c r="BV401" s="14"/>
      <c r="BW401" s="14"/>
      <c r="BX401" s="14"/>
      <c r="BY401" s="14"/>
      <c r="BZ401" s="14"/>
      <c r="CA401" s="14"/>
      <c r="CB401" s="14"/>
      <c r="CC401" s="14"/>
    </row>
    <row r="402" spans="1:81" s="549" customFormat="1" ht="12.75" customHeight="1">
      <c r="A402" s="536"/>
      <c r="B402" s="14"/>
      <c r="C402" s="2466" t="s">
        <v>591</v>
      </c>
      <c r="D402" s="2413"/>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7" t="s">
        <v>1452</v>
      </c>
      <c r="AG402" s="2467"/>
      <c r="AH402" s="2467"/>
      <c r="AI402" s="2467"/>
      <c r="AJ402" s="2467"/>
      <c r="AK402" s="2467"/>
      <c r="AL402" s="2468"/>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41" t="s">
        <v>1455</v>
      </c>
      <c r="G405" s="2441"/>
      <c r="H405" s="2441"/>
      <c r="I405" s="2441"/>
      <c r="J405" s="2441"/>
      <c r="K405" s="2441"/>
      <c r="L405" s="2441"/>
      <c r="M405" s="2441"/>
      <c r="N405" s="2441"/>
      <c r="O405" s="2441"/>
      <c r="P405" s="2441"/>
      <c r="Q405" s="2441"/>
      <c r="R405" s="2441"/>
      <c r="S405" s="2441"/>
      <c r="T405" s="2441"/>
      <c r="U405" s="2441"/>
      <c r="V405" s="2441"/>
      <c r="W405" s="2441"/>
      <c r="X405" s="2441"/>
      <c r="Y405" s="2441"/>
      <c r="Z405" s="2441"/>
      <c r="AA405" s="2441"/>
      <c r="AB405" s="2441"/>
      <c r="AC405" s="2441"/>
      <c r="AD405" s="2441"/>
      <c r="AE405" s="2441"/>
      <c r="AF405" s="2441"/>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2"/>
      <c r="G406" s="2442"/>
      <c r="H406" s="2442"/>
      <c r="I406" s="2442"/>
      <c r="J406" s="2442"/>
      <c r="K406" s="2442"/>
      <c r="L406" s="2442"/>
      <c r="M406" s="2442"/>
      <c r="N406" s="2442"/>
      <c r="O406" s="2442"/>
      <c r="P406" s="2442"/>
      <c r="Q406" s="2442"/>
      <c r="R406" s="2442"/>
      <c r="S406" s="2442"/>
      <c r="T406" s="2442"/>
      <c r="U406" s="2442"/>
      <c r="V406" s="2442"/>
      <c r="W406" s="2442"/>
      <c r="X406" s="2442"/>
      <c r="Y406" s="2442"/>
      <c r="Z406" s="2442"/>
      <c r="AA406" s="2442"/>
      <c r="AB406" s="2442"/>
      <c r="AC406" s="2442"/>
      <c r="AD406" s="2442"/>
      <c r="AE406" s="2442"/>
      <c r="AF406" s="2442"/>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2"/>
      <c r="G407" s="2442"/>
      <c r="H407" s="2442"/>
      <c r="I407" s="2442"/>
      <c r="J407" s="2442"/>
      <c r="K407" s="2442"/>
      <c r="L407" s="2442"/>
      <c r="M407" s="2442"/>
      <c r="N407" s="2442"/>
      <c r="O407" s="2442"/>
      <c r="P407" s="2442"/>
      <c r="Q407" s="2442"/>
      <c r="R407" s="2442"/>
      <c r="S407" s="2442"/>
      <c r="T407" s="2442"/>
      <c r="U407" s="2442"/>
      <c r="V407" s="2442"/>
      <c r="W407" s="2442"/>
      <c r="X407" s="2442"/>
      <c r="Y407" s="2442"/>
      <c r="Z407" s="2442"/>
      <c r="AA407" s="2442"/>
      <c r="AB407" s="2442"/>
      <c r="AC407" s="2442"/>
      <c r="AD407" s="2442"/>
      <c r="AE407" s="2442"/>
      <c r="AF407" s="2442"/>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2"/>
      <c r="G408" s="2442"/>
      <c r="H408" s="2442"/>
      <c r="I408" s="2442"/>
      <c r="J408" s="2442"/>
      <c r="K408" s="2442"/>
      <c r="L408" s="2442"/>
      <c r="M408" s="2442"/>
      <c r="N408" s="2442"/>
      <c r="O408" s="2442"/>
      <c r="P408" s="2442"/>
      <c r="Q408" s="2442"/>
      <c r="R408" s="2442"/>
      <c r="S408" s="2442"/>
      <c r="T408" s="2442"/>
      <c r="U408" s="2442"/>
      <c r="V408" s="2442"/>
      <c r="W408" s="2442"/>
      <c r="X408" s="2442"/>
      <c r="Y408" s="2442"/>
      <c r="Z408" s="2442"/>
      <c r="AA408" s="2442"/>
      <c r="AB408" s="2442"/>
      <c r="AC408" s="2442"/>
      <c r="AD408" s="2442"/>
      <c r="AE408" s="2442"/>
      <c r="AF408" s="2442"/>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2"/>
      <c r="G409" s="2442"/>
      <c r="H409" s="2442"/>
      <c r="I409" s="2442"/>
      <c r="J409" s="2442"/>
      <c r="K409" s="2442"/>
      <c r="L409" s="2442"/>
      <c r="M409" s="2442"/>
      <c r="N409" s="2442"/>
      <c r="O409" s="2442"/>
      <c r="P409" s="2442"/>
      <c r="Q409" s="2442"/>
      <c r="R409" s="2442"/>
      <c r="S409" s="2442"/>
      <c r="T409" s="2442"/>
      <c r="U409" s="2442"/>
      <c r="V409" s="2442"/>
      <c r="W409" s="2442"/>
      <c r="X409" s="2442"/>
      <c r="Y409" s="2442"/>
      <c r="Z409" s="2442"/>
      <c r="AA409" s="2442"/>
      <c r="AB409" s="2442"/>
      <c r="AC409" s="2442"/>
      <c r="AD409" s="2442"/>
      <c r="AE409" s="2442"/>
      <c r="AF409" s="2442"/>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6" t="s">
        <v>545</v>
      </c>
      <c r="D410" s="2413"/>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7" t="s">
        <v>1457</v>
      </c>
      <c r="AG410" s="2467"/>
      <c r="AH410" s="2467"/>
      <c r="AI410" s="2467"/>
      <c r="AJ410" s="2467"/>
      <c r="AK410" s="2467"/>
      <c r="AL410" s="2468"/>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6" t="s">
        <v>591</v>
      </c>
      <c r="D412" s="2413"/>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7" t="s">
        <v>1452</v>
      </c>
      <c r="AG412" s="2467"/>
      <c r="AH412" s="2467"/>
      <c r="AI412" s="2467"/>
      <c r="AJ412" s="2467"/>
      <c r="AK412" s="2467"/>
      <c r="AL412" s="2468"/>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41" t="s">
        <v>1461</v>
      </c>
      <c r="G416" s="2441"/>
      <c r="H416" s="2441"/>
      <c r="I416" s="2441"/>
      <c r="J416" s="2441"/>
      <c r="K416" s="2441"/>
      <c r="L416" s="2441"/>
      <c r="M416" s="2441"/>
      <c r="N416" s="2441"/>
      <c r="O416" s="2441"/>
      <c r="P416" s="2441"/>
      <c r="Q416" s="2441"/>
      <c r="R416" s="2441"/>
      <c r="S416" s="2441"/>
      <c r="T416" s="2441"/>
      <c r="U416" s="2441"/>
      <c r="V416" s="2441"/>
      <c r="W416" s="2441"/>
      <c r="X416" s="2441"/>
      <c r="Y416" s="2441"/>
      <c r="Z416" s="2441"/>
      <c r="AA416" s="2441"/>
      <c r="AB416" s="2441"/>
      <c r="AC416" s="2441"/>
      <c r="AD416" s="2441"/>
      <c r="AE416" s="2441"/>
      <c r="AF416" s="2441"/>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2"/>
      <c r="G417" s="2442"/>
      <c r="H417" s="2442"/>
      <c r="I417" s="2442"/>
      <c r="J417" s="2442"/>
      <c r="K417" s="2442"/>
      <c r="L417" s="2442"/>
      <c r="M417" s="2442"/>
      <c r="N417" s="2442"/>
      <c r="O417" s="2442"/>
      <c r="P417" s="2442"/>
      <c r="Q417" s="2442"/>
      <c r="R417" s="2442"/>
      <c r="S417" s="2442"/>
      <c r="T417" s="2442"/>
      <c r="U417" s="2442"/>
      <c r="V417" s="2442"/>
      <c r="W417" s="2442"/>
      <c r="X417" s="2442"/>
      <c r="Y417" s="2442"/>
      <c r="Z417" s="2442"/>
      <c r="AA417" s="2442"/>
      <c r="AB417" s="2442"/>
      <c r="AC417" s="2442"/>
      <c r="AD417" s="2442"/>
      <c r="AE417" s="2442"/>
      <c r="AF417" s="2442"/>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2"/>
      <c r="G418" s="2442"/>
      <c r="H418" s="2442"/>
      <c r="I418" s="2442"/>
      <c r="J418" s="2442"/>
      <c r="K418" s="2442"/>
      <c r="L418" s="2442"/>
      <c r="M418" s="2442"/>
      <c r="N418" s="2442"/>
      <c r="O418" s="2442"/>
      <c r="P418" s="2442"/>
      <c r="Q418" s="2442"/>
      <c r="R418" s="2442"/>
      <c r="S418" s="2442"/>
      <c r="T418" s="2442"/>
      <c r="U418" s="2442"/>
      <c r="V418" s="2442"/>
      <c r="W418" s="2442"/>
      <c r="X418" s="2442"/>
      <c r="Y418" s="2442"/>
      <c r="Z418" s="2442"/>
      <c r="AA418" s="2442"/>
      <c r="AB418" s="2442"/>
      <c r="AC418" s="2442"/>
      <c r="AD418" s="2442"/>
      <c r="AE418" s="2442"/>
      <c r="AF418" s="2442"/>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2"/>
      <c r="G419" s="2442"/>
      <c r="H419" s="2442"/>
      <c r="I419" s="2442"/>
      <c r="J419" s="2442"/>
      <c r="K419" s="2442"/>
      <c r="L419" s="2442"/>
      <c r="M419" s="2442"/>
      <c r="N419" s="2442"/>
      <c r="O419" s="2442"/>
      <c r="P419" s="2442"/>
      <c r="Q419" s="2442"/>
      <c r="R419" s="2442"/>
      <c r="S419" s="2442"/>
      <c r="T419" s="2442"/>
      <c r="U419" s="2442"/>
      <c r="V419" s="2442"/>
      <c r="W419" s="2442"/>
      <c r="X419" s="2442"/>
      <c r="Y419" s="2442"/>
      <c r="Z419" s="2442"/>
      <c r="AA419" s="2442"/>
      <c r="AB419" s="2442"/>
      <c r="AC419" s="2442"/>
      <c r="AD419" s="2442"/>
      <c r="AE419" s="2442"/>
      <c r="AF419" s="2442"/>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6" t="s">
        <v>591</v>
      </c>
      <c r="D420" s="2413"/>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7" t="s">
        <v>1452</v>
      </c>
      <c r="AG420" s="2467"/>
      <c r="AH420" s="2467"/>
      <c r="AI420" s="2467"/>
      <c r="AJ420" s="2467"/>
      <c r="AK420" s="2467"/>
      <c r="AL420" s="2468"/>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6" t="s">
        <v>545</v>
      </c>
      <c r="D422" s="2413"/>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7" t="s">
        <v>1464</v>
      </c>
      <c r="AG422" s="2467"/>
      <c r="AH422" s="2467"/>
      <c r="AI422" s="2467"/>
      <c r="AJ422" s="2467"/>
      <c r="AK422" s="2467"/>
      <c r="AL422" s="2468"/>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6" t="s">
        <v>591</v>
      </c>
      <c r="D425" s="2413"/>
      <c r="E425" s="711" t="s">
        <v>1465</v>
      </c>
      <c r="F425" s="2441" t="s">
        <v>1466</v>
      </c>
      <c r="G425" s="2441"/>
      <c r="H425" s="2441"/>
      <c r="I425" s="2441"/>
      <c r="J425" s="2441"/>
      <c r="K425" s="2441"/>
      <c r="L425" s="2441"/>
      <c r="M425" s="2441"/>
      <c r="N425" s="2441"/>
      <c r="O425" s="2441"/>
      <c r="P425" s="2441"/>
      <c r="Q425" s="2441"/>
      <c r="R425" s="2441"/>
      <c r="S425" s="2441"/>
      <c r="T425" s="2441"/>
      <c r="U425" s="2441"/>
      <c r="V425" s="2441"/>
      <c r="W425" s="2441"/>
      <c r="X425" s="2441"/>
      <c r="Y425" s="2441"/>
      <c r="Z425" s="2441"/>
      <c r="AA425" s="2441"/>
      <c r="AB425" s="2441"/>
      <c r="AC425" s="2441"/>
      <c r="AD425" s="2441"/>
      <c r="AE425" s="2441"/>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2"/>
      <c r="G426" s="2442"/>
      <c r="H426" s="2442"/>
      <c r="I426" s="2442"/>
      <c r="J426" s="2442"/>
      <c r="K426" s="2442"/>
      <c r="L426" s="2442"/>
      <c r="M426" s="2442"/>
      <c r="N426" s="2442"/>
      <c r="O426" s="2442"/>
      <c r="P426" s="2442"/>
      <c r="Q426" s="2442"/>
      <c r="R426" s="2442"/>
      <c r="S426" s="2442"/>
      <c r="T426" s="2442"/>
      <c r="U426" s="2442"/>
      <c r="V426" s="2442"/>
      <c r="W426" s="2442"/>
      <c r="X426" s="2442"/>
      <c r="Y426" s="2442"/>
      <c r="Z426" s="2442"/>
      <c r="AA426" s="2442"/>
      <c r="AB426" s="2442"/>
      <c r="AC426" s="2442"/>
      <c r="AD426" s="2442"/>
      <c r="AE426" s="2442"/>
      <c r="AF426" s="2392" t="s">
        <v>1452</v>
      </c>
      <c r="AG426" s="2392"/>
      <c r="AH426" s="2392"/>
      <c r="AI426" s="2392"/>
      <c r="AJ426" s="2392"/>
      <c r="AK426" s="2392"/>
      <c r="AL426" s="2473"/>
      <c r="AM426" s="568"/>
      <c r="AN426" s="595"/>
      <c r="BS426" s="568"/>
      <c r="BT426" s="568"/>
      <c r="BY426" s="568"/>
      <c r="BZ426" s="568"/>
      <c r="CA426" s="568"/>
      <c r="CB426" s="568"/>
      <c r="CC426" s="568"/>
    </row>
    <row r="427" spans="1:81" s="549" customFormat="1" ht="12.75" customHeight="1">
      <c r="A427" s="536"/>
      <c r="B427" s="14"/>
      <c r="C427" s="727"/>
      <c r="D427" s="14"/>
      <c r="E427" s="687"/>
      <c r="F427" s="2442"/>
      <c r="G427" s="2442"/>
      <c r="H427" s="2442"/>
      <c r="I427" s="2442"/>
      <c r="J427" s="2442"/>
      <c r="K427" s="2442"/>
      <c r="L427" s="2442"/>
      <c r="M427" s="2442"/>
      <c r="N427" s="2442"/>
      <c r="O427" s="2442"/>
      <c r="P427" s="2442"/>
      <c r="Q427" s="2442"/>
      <c r="R427" s="2442"/>
      <c r="S427" s="2442"/>
      <c r="T427" s="2442"/>
      <c r="U427" s="2442"/>
      <c r="V427" s="2442"/>
      <c r="W427" s="2442"/>
      <c r="X427" s="2442"/>
      <c r="Y427" s="2442"/>
      <c r="Z427" s="2442"/>
      <c r="AA427" s="2442"/>
      <c r="AB427" s="2442"/>
      <c r="AC427" s="2442"/>
      <c r="AD427" s="2442"/>
      <c r="AE427" s="2442"/>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3"/>
      <c r="G428" s="2443"/>
      <c r="H428" s="2443"/>
      <c r="I428" s="2443"/>
      <c r="J428" s="2443"/>
      <c r="K428" s="2443"/>
      <c r="L428" s="2443"/>
      <c r="M428" s="2443"/>
      <c r="N428" s="2443"/>
      <c r="O428" s="2443"/>
      <c r="P428" s="2443"/>
      <c r="Q428" s="2443"/>
      <c r="R428" s="2443"/>
      <c r="S428" s="2443"/>
      <c r="T428" s="2443"/>
      <c r="U428" s="2443"/>
      <c r="V428" s="2443"/>
      <c r="W428" s="2443"/>
      <c r="X428" s="2443"/>
      <c r="Y428" s="2443"/>
      <c r="Z428" s="2443"/>
      <c r="AA428" s="2443"/>
      <c r="AB428" s="2443"/>
      <c r="AC428" s="2443"/>
      <c r="AD428" s="2443"/>
      <c r="AE428" s="2443"/>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41" t="s">
        <v>1468</v>
      </c>
      <c r="G430" s="2441"/>
      <c r="H430" s="2441"/>
      <c r="I430" s="2441"/>
      <c r="J430" s="2441"/>
      <c r="K430" s="2441"/>
      <c r="L430" s="2441"/>
      <c r="M430" s="2441"/>
      <c r="N430" s="2441"/>
      <c r="O430" s="2441"/>
      <c r="P430" s="2441"/>
      <c r="Q430" s="2441"/>
      <c r="R430" s="2441"/>
      <c r="S430" s="2441"/>
      <c r="T430" s="2441"/>
      <c r="U430" s="2441"/>
      <c r="V430" s="2441"/>
      <c r="W430" s="2441"/>
      <c r="X430" s="2441"/>
      <c r="Y430" s="2441"/>
      <c r="Z430" s="2441"/>
      <c r="AA430" s="2441"/>
      <c r="AB430" s="2441"/>
      <c r="AC430" s="2441"/>
      <c r="AD430" s="2441"/>
      <c r="AE430" s="2441"/>
      <c r="AF430" s="743"/>
      <c r="AG430" s="743"/>
      <c r="AH430" s="743"/>
      <c r="AI430" s="743"/>
      <c r="AJ430" s="743"/>
      <c r="AK430" s="743"/>
      <c r="AL430" s="744"/>
      <c r="AM430" s="568"/>
    </row>
    <row r="431" spans="1:81">
      <c r="A431" s="536"/>
      <c r="C431" s="727"/>
      <c r="E431" s="687"/>
      <c r="F431" s="2442"/>
      <c r="G431" s="2442"/>
      <c r="H431" s="2442"/>
      <c r="I431" s="2442"/>
      <c r="J431" s="2442"/>
      <c r="K431" s="2442"/>
      <c r="L431" s="2442"/>
      <c r="M431" s="2442"/>
      <c r="N431" s="2442"/>
      <c r="O431" s="2442"/>
      <c r="P431" s="2442"/>
      <c r="Q431" s="2442"/>
      <c r="R431" s="2442"/>
      <c r="S431" s="2442"/>
      <c r="T431" s="2442"/>
      <c r="U431" s="2442"/>
      <c r="V431" s="2442"/>
      <c r="W431" s="2442"/>
      <c r="X431" s="2442"/>
      <c r="Y431" s="2442"/>
      <c r="Z431" s="2442"/>
      <c r="AA431" s="2442"/>
      <c r="AB431" s="2442"/>
      <c r="AC431" s="2442"/>
      <c r="AD431" s="2442"/>
      <c r="AE431" s="2442"/>
      <c r="AF431" s="539"/>
      <c r="AG431" s="536"/>
      <c r="AH431" s="549"/>
      <c r="AI431" s="549"/>
      <c r="AJ431" s="549"/>
      <c r="AK431" s="549"/>
      <c r="AL431" s="728"/>
      <c r="AM431" s="568"/>
    </row>
    <row r="432" spans="1:81" s="549" customFormat="1" ht="12.75" customHeight="1">
      <c r="A432" s="536"/>
      <c r="B432" s="14"/>
      <c r="C432" s="727"/>
      <c r="D432" s="14"/>
      <c r="E432" s="687"/>
      <c r="F432" s="2442"/>
      <c r="G432" s="2442"/>
      <c r="H432" s="2442"/>
      <c r="I432" s="2442"/>
      <c r="J432" s="2442"/>
      <c r="K432" s="2442"/>
      <c r="L432" s="2442"/>
      <c r="M432" s="2442"/>
      <c r="N432" s="2442"/>
      <c r="O432" s="2442"/>
      <c r="P432" s="2442"/>
      <c r="Q432" s="2442"/>
      <c r="R432" s="2442"/>
      <c r="S432" s="2442"/>
      <c r="T432" s="2442"/>
      <c r="U432" s="2442"/>
      <c r="V432" s="2442"/>
      <c r="W432" s="2442"/>
      <c r="X432" s="2442"/>
      <c r="Y432" s="2442"/>
      <c r="Z432" s="2442"/>
      <c r="AA432" s="2442"/>
      <c r="AB432" s="2442"/>
      <c r="AC432" s="2442"/>
      <c r="AD432" s="2442"/>
      <c r="AE432" s="2442"/>
      <c r="AL432" s="728"/>
      <c r="AM432" s="568"/>
      <c r="AN432" s="595"/>
    </row>
    <row r="433" spans="1:60" s="549" customFormat="1" ht="12.75" customHeight="1">
      <c r="A433" s="536"/>
      <c r="B433" s="14"/>
      <c r="C433" s="735"/>
      <c r="F433" s="2442"/>
      <c r="G433" s="2442"/>
      <c r="H433" s="2442"/>
      <c r="I433" s="2442"/>
      <c r="J433" s="2442"/>
      <c r="K433" s="2442"/>
      <c r="L433" s="2442"/>
      <c r="M433" s="2442"/>
      <c r="N433" s="2442"/>
      <c r="O433" s="2442"/>
      <c r="P433" s="2442"/>
      <c r="Q433" s="2442"/>
      <c r="R433" s="2442"/>
      <c r="S433" s="2442"/>
      <c r="T433" s="2442"/>
      <c r="U433" s="2442"/>
      <c r="V433" s="2442"/>
      <c r="W433" s="2442"/>
      <c r="X433" s="2442"/>
      <c r="Y433" s="2442"/>
      <c r="Z433" s="2442"/>
      <c r="AA433" s="2442"/>
      <c r="AB433" s="2442"/>
      <c r="AC433" s="2442"/>
      <c r="AD433" s="2442"/>
      <c r="AE433" s="2442"/>
      <c r="AL433" s="728"/>
      <c r="AM433" s="568"/>
      <c r="AN433" s="595"/>
    </row>
    <row r="434" spans="1:60" s="549" customFormat="1" ht="12.75" customHeight="1">
      <c r="A434" s="536"/>
      <c r="B434" s="14"/>
      <c r="C434" s="2466" t="s">
        <v>591</v>
      </c>
      <c r="D434" s="2413"/>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2" t="s">
        <v>1452</v>
      </c>
      <c r="AG434" s="2392"/>
      <c r="AH434" s="2392"/>
      <c r="AI434" s="2392"/>
      <c r="AJ434" s="2392"/>
      <c r="AK434" s="2392"/>
      <c r="AL434" s="2473"/>
      <c r="AM434" s="568"/>
      <c r="AN434" s="595"/>
    </row>
    <row r="435" spans="1:60" s="549" customFormat="1" ht="12.75" customHeight="1">
      <c r="A435" s="536"/>
      <c r="B435" s="14"/>
      <c r="C435" s="735"/>
      <c r="AL435" s="728"/>
      <c r="AM435" s="568"/>
      <c r="AN435" s="595"/>
    </row>
    <row r="436" spans="1:60" s="549" customFormat="1" ht="12.75" customHeight="1">
      <c r="A436" s="536"/>
      <c r="B436" s="14"/>
      <c r="C436" s="2466" t="s">
        <v>591</v>
      </c>
      <c r="D436" s="2413"/>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2" t="s">
        <v>1464</v>
      </c>
      <c r="AG436" s="2392"/>
      <c r="AH436" s="2392"/>
      <c r="AI436" s="2392"/>
      <c r="AJ436" s="2392"/>
      <c r="AK436" s="2392"/>
      <c r="AL436" s="2473"/>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41" t="s">
        <v>1472</v>
      </c>
      <c r="G440" s="2441"/>
      <c r="H440" s="2441"/>
      <c r="I440" s="2441"/>
      <c r="J440" s="2441"/>
      <c r="K440" s="2441"/>
      <c r="L440" s="2441"/>
      <c r="M440" s="2441"/>
      <c r="N440" s="2441"/>
      <c r="O440" s="2441"/>
      <c r="P440" s="2441"/>
      <c r="Q440" s="2441"/>
      <c r="R440" s="2441"/>
      <c r="S440" s="2441"/>
      <c r="T440" s="2441"/>
      <c r="U440" s="2441"/>
      <c r="V440" s="2441"/>
      <c r="W440" s="2441"/>
      <c r="X440" s="2441"/>
      <c r="Y440" s="2441"/>
      <c r="Z440" s="2441"/>
      <c r="AA440" s="2441"/>
      <c r="AB440" s="2441"/>
      <c r="AC440" s="2441"/>
      <c r="AD440" s="2441"/>
      <c r="AE440" s="2441"/>
      <c r="AF440" s="710"/>
      <c r="AG440" s="710"/>
      <c r="AH440" s="710"/>
      <c r="AI440" s="710"/>
      <c r="AJ440" s="710"/>
      <c r="AK440" s="710"/>
      <c r="AL440" s="741"/>
      <c r="AM440" s="568"/>
      <c r="AN440" s="595"/>
    </row>
    <row r="441" spans="1:60" s="549" customFormat="1" ht="12.75" customHeight="1">
      <c r="A441" s="536"/>
      <c r="B441" s="14"/>
      <c r="C441" s="727"/>
      <c r="D441" s="14"/>
      <c r="E441" s="687"/>
      <c r="F441" s="2442"/>
      <c r="G441" s="2442"/>
      <c r="H441" s="2442"/>
      <c r="I441" s="2442"/>
      <c r="J441" s="2442"/>
      <c r="K441" s="2442"/>
      <c r="L441" s="2442"/>
      <c r="M441" s="2442"/>
      <c r="N441" s="2442"/>
      <c r="O441" s="2442"/>
      <c r="P441" s="2442"/>
      <c r="Q441" s="2442"/>
      <c r="R441" s="2442"/>
      <c r="S441" s="2442"/>
      <c r="T441" s="2442"/>
      <c r="U441" s="2442"/>
      <c r="V441" s="2442"/>
      <c r="W441" s="2442"/>
      <c r="X441" s="2442"/>
      <c r="Y441" s="2442"/>
      <c r="Z441" s="2442"/>
      <c r="AA441" s="2442"/>
      <c r="AB441" s="2442"/>
      <c r="AC441" s="2442"/>
      <c r="AD441" s="2442"/>
      <c r="AE441" s="2442"/>
      <c r="AF441" s="539"/>
      <c r="AG441" s="536"/>
      <c r="AL441" s="728"/>
      <c r="AM441" s="568"/>
      <c r="AN441" s="595"/>
    </row>
    <row r="442" spans="1:60" s="549" customFormat="1" ht="12.4" customHeight="1">
      <c r="A442" s="536"/>
      <c r="B442" s="14"/>
      <c r="C442" s="727"/>
      <c r="D442" s="14"/>
      <c r="E442" s="687"/>
      <c r="F442" s="2442"/>
      <c r="G442" s="2442"/>
      <c r="H442" s="2442"/>
      <c r="I442" s="2442"/>
      <c r="J442" s="2442"/>
      <c r="K442" s="2442"/>
      <c r="L442" s="2442"/>
      <c r="M442" s="2442"/>
      <c r="N442" s="2442"/>
      <c r="O442" s="2442"/>
      <c r="P442" s="2442"/>
      <c r="Q442" s="2442"/>
      <c r="R442" s="2442"/>
      <c r="S442" s="2442"/>
      <c r="T442" s="2442"/>
      <c r="U442" s="2442"/>
      <c r="V442" s="2442"/>
      <c r="W442" s="2442"/>
      <c r="X442" s="2442"/>
      <c r="Y442" s="2442"/>
      <c r="Z442" s="2442"/>
      <c r="AA442" s="2442"/>
      <c r="AB442" s="2442"/>
      <c r="AC442" s="2442"/>
      <c r="AD442" s="2442"/>
      <c r="AE442" s="2442"/>
      <c r="AL442" s="728"/>
      <c r="AM442" s="568"/>
      <c r="AN442" s="595"/>
    </row>
    <row r="443" spans="1:60" s="549" customFormat="1" ht="12.75" customHeight="1">
      <c r="A443" s="536"/>
      <c r="B443" s="14"/>
      <c r="C443" s="2466" t="s">
        <v>591</v>
      </c>
      <c r="D443" s="2413"/>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2" t="s">
        <v>1452</v>
      </c>
      <c r="AG443" s="2392"/>
      <c r="AH443" s="2392"/>
      <c r="AI443" s="2392"/>
      <c r="AJ443" s="2392"/>
      <c r="AK443" s="2392"/>
      <c r="AL443" s="2473"/>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441" t="s">
        <v>1475</v>
      </c>
      <c r="G446" s="2441"/>
      <c r="H446" s="2441"/>
      <c r="I446" s="2441"/>
      <c r="J446" s="2441"/>
      <c r="K446" s="2441"/>
      <c r="L446" s="2441"/>
      <c r="M446" s="2441"/>
      <c r="N446" s="2441"/>
      <c r="O446" s="2441"/>
      <c r="P446" s="2441"/>
      <c r="Q446" s="2441"/>
      <c r="R446" s="2441"/>
      <c r="S446" s="2441"/>
      <c r="T446" s="2441"/>
      <c r="U446" s="2441"/>
      <c r="V446" s="2441"/>
      <c r="W446" s="2441"/>
      <c r="X446" s="2441"/>
      <c r="Y446" s="2441"/>
      <c r="Z446" s="2441"/>
      <c r="AA446" s="2441"/>
      <c r="AB446" s="2441"/>
      <c r="AC446" s="2441"/>
      <c r="AD446" s="2441"/>
      <c r="AE446" s="2441"/>
      <c r="AF446" s="743"/>
      <c r="AG446" s="743"/>
      <c r="AH446" s="743"/>
      <c r="AI446" s="743"/>
      <c r="AJ446" s="743"/>
      <c r="AK446" s="743"/>
      <c r="AL446" s="744"/>
      <c r="AM446" s="568"/>
      <c r="AO446" s="549"/>
      <c r="AP446" s="549"/>
      <c r="BD446" s="14"/>
      <c r="BE446" s="14"/>
      <c r="BF446" s="14"/>
      <c r="BG446" s="14"/>
      <c r="BH446" s="14"/>
    </row>
    <row r="447" spans="1:60">
      <c r="A447" s="536"/>
      <c r="C447" s="727"/>
      <c r="E447" s="687"/>
      <c r="F447" s="2442"/>
      <c r="G447" s="2442"/>
      <c r="H447" s="2442"/>
      <c r="I447" s="2442"/>
      <c r="J447" s="2442"/>
      <c r="K447" s="2442"/>
      <c r="L447" s="2442"/>
      <c r="M447" s="2442"/>
      <c r="N447" s="2442"/>
      <c r="O447" s="2442"/>
      <c r="P447" s="2442"/>
      <c r="Q447" s="2442"/>
      <c r="R447" s="2442"/>
      <c r="S447" s="2442"/>
      <c r="T447" s="2442"/>
      <c r="U447" s="2442"/>
      <c r="V447" s="2442"/>
      <c r="W447" s="2442"/>
      <c r="X447" s="2442"/>
      <c r="Y447" s="2442"/>
      <c r="Z447" s="2442"/>
      <c r="AA447" s="2442"/>
      <c r="AB447" s="2442"/>
      <c r="AC447" s="2442"/>
      <c r="AD447" s="2442"/>
      <c r="AE447" s="2442"/>
      <c r="AF447" s="592"/>
      <c r="AG447" s="592"/>
      <c r="AH447" s="592"/>
      <c r="AI447" s="592"/>
      <c r="AJ447" s="592"/>
      <c r="AK447" s="592"/>
      <c r="AL447" s="746"/>
      <c r="AM447" s="568"/>
      <c r="AO447" s="549"/>
      <c r="AP447" s="549"/>
    </row>
    <row r="448" spans="1:60" s="549" customFormat="1" ht="12.75" customHeight="1">
      <c r="A448" s="536"/>
      <c r="B448" s="14"/>
      <c r="C448" s="727"/>
      <c r="D448" s="14"/>
      <c r="E448" s="687"/>
      <c r="F448" s="2442"/>
      <c r="G448" s="2442"/>
      <c r="H448" s="2442"/>
      <c r="I448" s="2442"/>
      <c r="J448" s="2442"/>
      <c r="K448" s="2442"/>
      <c r="L448" s="2442"/>
      <c r="M448" s="2442"/>
      <c r="N448" s="2442"/>
      <c r="O448" s="2442"/>
      <c r="P448" s="2442"/>
      <c r="Q448" s="2442"/>
      <c r="R448" s="2442"/>
      <c r="S448" s="2442"/>
      <c r="T448" s="2442"/>
      <c r="U448" s="2442"/>
      <c r="V448" s="2442"/>
      <c r="W448" s="2442"/>
      <c r="X448" s="2442"/>
      <c r="Y448" s="2442"/>
      <c r="Z448" s="2442"/>
      <c r="AA448" s="2442"/>
      <c r="AB448" s="2442"/>
      <c r="AC448" s="2442"/>
      <c r="AD448" s="2442"/>
      <c r="AE448" s="2442"/>
      <c r="AF448" s="592"/>
      <c r="AG448" s="592"/>
      <c r="AH448" s="592"/>
      <c r="AI448" s="592"/>
      <c r="AJ448" s="592"/>
      <c r="AK448" s="592"/>
      <c r="AL448" s="746"/>
      <c r="AM448" s="568"/>
      <c r="AN448" s="595"/>
    </row>
    <row r="449" spans="1:42" s="549" customFormat="1" ht="12.75" customHeight="1">
      <c r="A449" s="536"/>
      <c r="B449" s="14"/>
      <c r="C449" s="747"/>
      <c r="D449" s="726"/>
      <c r="E449" s="715"/>
      <c r="F449" s="2442"/>
      <c r="G449" s="2442"/>
      <c r="H449" s="2442"/>
      <c r="I449" s="2442"/>
      <c r="J449" s="2442"/>
      <c r="K449" s="2442"/>
      <c r="L449" s="2442"/>
      <c r="M449" s="2442"/>
      <c r="N449" s="2442"/>
      <c r="O449" s="2442"/>
      <c r="P449" s="2442"/>
      <c r="Q449" s="2442"/>
      <c r="R449" s="2442"/>
      <c r="S449" s="2442"/>
      <c r="T449" s="2442"/>
      <c r="U449" s="2442"/>
      <c r="V449" s="2442"/>
      <c r="W449" s="2442"/>
      <c r="X449" s="2442"/>
      <c r="Y449" s="2442"/>
      <c r="Z449" s="2442"/>
      <c r="AA449" s="2442"/>
      <c r="AB449" s="2442"/>
      <c r="AC449" s="2442"/>
      <c r="AD449" s="2442"/>
      <c r="AE449" s="2442"/>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2"/>
      <c r="G450" s="2442"/>
      <c r="H450" s="2442"/>
      <c r="I450" s="2442"/>
      <c r="J450" s="2442"/>
      <c r="K450" s="2442"/>
      <c r="L450" s="2442"/>
      <c r="M450" s="2442"/>
      <c r="N450" s="2442"/>
      <c r="O450" s="2442"/>
      <c r="P450" s="2442"/>
      <c r="Q450" s="2442"/>
      <c r="R450" s="2442"/>
      <c r="S450" s="2442"/>
      <c r="T450" s="2442"/>
      <c r="U450" s="2442"/>
      <c r="V450" s="2442"/>
      <c r="W450" s="2442"/>
      <c r="X450" s="2442"/>
      <c r="Y450" s="2442"/>
      <c r="Z450" s="2442"/>
      <c r="AA450" s="2442"/>
      <c r="AB450" s="2442"/>
      <c r="AC450" s="2442"/>
      <c r="AD450" s="2442"/>
      <c r="AE450" s="2442"/>
      <c r="AF450" s="592"/>
      <c r="AG450" s="592"/>
      <c r="AH450" s="592"/>
      <c r="AI450" s="592"/>
      <c r="AJ450" s="592"/>
      <c r="AK450" s="592"/>
      <c r="AL450" s="746"/>
      <c r="AM450" s="568"/>
      <c r="AN450" s="595"/>
    </row>
    <row r="451" spans="1:42" s="549" customFormat="1" ht="12.75" customHeight="1">
      <c r="A451" s="536"/>
      <c r="B451" s="14"/>
      <c r="C451" s="747"/>
      <c r="D451" s="726"/>
      <c r="E451" s="715"/>
      <c r="F451" s="2442"/>
      <c r="G451" s="2442"/>
      <c r="H451" s="2442"/>
      <c r="I451" s="2442"/>
      <c r="J451" s="2442"/>
      <c r="K451" s="2442"/>
      <c r="L451" s="2442"/>
      <c r="M451" s="2442"/>
      <c r="N451" s="2442"/>
      <c r="O451" s="2442"/>
      <c r="P451" s="2442"/>
      <c r="Q451" s="2442"/>
      <c r="R451" s="2442"/>
      <c r="S451" s="2442"/>
      <c r="T451" s="2442"/>
      <c r="U451" s="2442"/>
      <c r="V451" s="2442"/>
      <c r="W451" s="2442"/>
      <c r="X451" s="2442"/>
      <c r="Y451" s="2442"/>
      <c r="Z451" s="2442"/>
      <c r="AA451" s="2442"/>
      <c r="AB451" s="2442"/>
      <c r="AC451" s="2442"/>
      <c r="AD451" s="2442"/>
      <c r="AE451" s="2442"/>
      <c r="AF451" s="592"/>
      <c r="AG451" s="592"/>
      <c r="AH451" s="592"/>
      <c r="AI451" s="592"/>
      <c r="AJ451" s="592"/>
      <c r="AK451" s="592"/>
      <c r="AL451" s="746"/>
      <c r="AM451" s="568"/>
      <c r="AN451" s="595"/>
    </row>
    <row r="452" spans="1:42" s="549" customFormat="1" ht="12.75" customHeight="1">
      <c r="A452" s="536"/>
      <c r="B452" s="14"/>
      <c r="C452" s="747"/>
      <c r="D452" s="726"/>
      <c r="E452" s="715"/>
      <c r="F452" s="2442"/>
      <c r="G452" s="2442"/>
      <c r="H452" s="2442"/>
      <c r="I452" s="2442"/>
      <c r="J452" s="2442"/>
      <c r="K452" s="2442"/>
      <c r="L452" s="2442"/>
      <c r="M452" s="2442"/>
      <c r="N452" s="2442"/>
      <c r="O452" s="2442"/>
      <c r="P452" s="2442"/>
      <c r="Q452" s="2442"/>
      <c r="R452" s="2442"/>
      <c r="S452" s="2442"/>
      <c r="T452" s="2442"/>
      <c r="U452" s="2442"/>
      <c r="V452" s="2442"/>
      <c r="W452" s="2442"/>
      <c r="X452" s="2442"/>
      <c r="Y452" s="2442"/>
      <c r="Z452" s="2442"/>
      <c r="AA452" s="2442"/>
      <c r="AB452" s="2442"/>
      <c r="AC452" s="2442"/>
      <c r="AD452" s="2442"/>
      <c r="AE452" s="2442"/>
      <c r="AF452" s="592"/>
      <c r="AG452" s="592"/>
      <c r="AH452" s="592"/>
      <c r="AI452" s="592"/>
      <c r="AJ452" s="592"/>
      <c r="AK452" s="592"/>
      <c r="AL452" s="746"/>
      <c r="AM452" s="568"/>
      <c r="AN452" s="595"/>
    </row>
    <row r="453" spans="1:42" s="549" customFormat="1" ht="12.75" customHeight="1">
      <c r="A453" s="536"/>
      <c r="B453" s="14"/>
      <c r="C453" s="747"/>
      <c r="D453" s="726"/>
      <c r="E453" s="715"/>
      <c r="F453" s="2442"/>
      <c r="G453" s="2442"/>
      <c r="H453" s="2442"/>
      <c r="I453" s="2442"/>
      <c r="J453" s="2442"/>
      <c r="K453" s="2442"/>
      <c r="L453" s="2442"/>
      <c r="M453" s="2442"/>
      <c r="N453" s="2442"/>
      <c r="O453" s="2442"/>
      <c r="P453" s="2442"/>
      <c r="Q453" s="2442"/>
      <c r="R453" s="2442"/>
      <c r="S453" s="2442"/>
      <c r="T453" s="2442"/>
      <c r="U453" s="2442"/>
      <c r="V453" s="2442"/>
      <c r="W453" s="2442"/>
      <c r="X453" s="2442"/>
      <c r="Y453" s="2442"/>
      <c r="Z453" s="2442"/>
      <c r="AA453" s="2442"/>
      <c r="AB453" s="2442"/>
      <c r="AC453" s="2442"/>
      <c r="AD453" s="2442"/>
      <c r="AE453" s="2442"/>
      <c r="AF453" s="592"/>
      <c r="AG453" s="592"/>
      <c r="AH453" s="592"/>
      <c r="AI453" s="592"/>
      <c r="AJ453" s="592"/>
      <c r="AK453" s="592"/>
      <c r="AL453" s="746"/>
      <c r="AM453" s="568"/>
      <c r="AN453" s="595"/>
    </row>
    <row r="454" spans="1:42" s="549" customFormat="1" ht="17.25" customHeight="1">
      <c r="A454" s="536"/>
      <c r="B454" s="14"/>
      <c r="C454" s="747"/>
      <c r="D454" s="726"/>
      <c r="E454" s="715"/>
      <c r="F454" s="2442"/>
      <c r="G454" s="2442"/>
      <c r="H454" s="2442"/>
      <c r="I454" s="2442"/>
      <c r="J454" s="2442"/>
      <c r="K454" s="2442"/>
      <c r="L454" s="2442"/>
      <c r="M454" s="2442"/>
      <c r="N454" s="2442"/>
      <c r="O454" s="2442"/>
      <c r="P454" s="2442"/>
      <c r="Q454" s="2442"/>
      <c r="R454" s="2442"/>
      <c r="S454" s="2442"/>
      <c r="T454" s="2442"/>
      <c r="U454" s="2442"/>
      <c r="V454" s="2442"/>
      <c r="W454" s="2442"/>
      <c r="X454" s="2442"/>
      <c r="Y454" s="2442"/>
      <c r="Z454" s="2442"/>
      <c r="AA454" s="2442"/>
      <c r="AB454" s="2442"/>
      <c r="AC454" s="2442"/>
      <c r="AD454" s="2442"/>
      <c r="AE454" s="2442"/>
      <c r="AL454" s="728"/>
      <c r="AM454" s="568"/>
      <c r="AN454" s="595"/>
    </row>
    <row r="455" spans="1:42" s="549" customFormat="1" ht="12.75" customHeight="1">
      <c r="A455" s="536"/>
      <c r="B455" s="14"/>
      <c r="C455" s="2466" t="s">
        <v>591</v>
      </c>
      <c r="D455" s="2413"/>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2" t="s">
        <v>1452</v>
      </c>
      <c r="AG455" s="2392"/>
      <c r="AH455" s="2392"/>
      <c r="AI455" s="2392"/>
      <c r="AJ455" s="2392"/>
      <c r="AK455" s="2392"/>
      <c r="AL455" s="2473"/>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41" t="s">
        <v>1478</v>
      </c>
      <c r="G458" s="2441"/>
      <c r="H458" s="2441"/>
      <c r="I458" s="2441"/>
      <c r="J458" s="2441"/>
      <c r="K458" s="2441"/>
      <c r="L458" s="2441"/>
      <c r="M458" s="2441"/>
      <c r="N458" s="2441"/>
      <c r="O458" s="2441"/>
      <c r="P458" s="2441"/>
      <c r="Q458" s="2441"/>
      <c r="R458" s="2441"/>
      <c r="S458" s="2441"/>
      <c r="T458" s="2441"/>
      <c r="U458" s="2441"/>
      <c r="V458" s="2441"/>
      <c r="W458" s="2441"/>
      <c r="X458" s="2441"/>
      <c r="Y458" s="2441"/>
      <c r="Z458" s="2441"/>
      <c r="AA458" s="2441"/>
      <c r="AB458" s="2441"/>
      <c r="AC458" s="2441"/>
      <c r="AD458" s="2441"/>
      <c r="AE458" s="2441"/>
      <c r="AF458" s="710"/>
      <c r="AG458" s="710"/>
      <c r="AH458" s="710"/>
      <c r="AI458" s="710"/>
      <c r="AJ458" s="710"/>
      <c r="AK458" s="710"/>
      <c r="AL458" s="741"/>
      <c r="AM458" s="568"/>
      <c r="AN458" s="595"/>
    </row>
    <row r="459" spans="1:42" s="549" customFormat="1" ht="12.75" customHeight="1">
      <c r="A459" s="536"/>
      <c r="B459" s="14"/>
      <c r="C459" s="747"/>
      <c r="D459" s="726"/>
      <c r="E459" s="715"/>
      <c r="F459" s="2442"/>
      <c r="G459" s="2442"/>
      <c r="H459" s="2442"/>
      <c r="I459" s="2442"/>
      <c r="J459" s="2442"/>
      <c r="K459" s="2442"/>
      <c r="L459" s="2442"/>
      <c r="M459" s="2442"/>
      <c r="N459" s="2442"/>
      <c r="O459" s="2442"/>
      <c r="P459" s="2442"/>
      <c r="Q459" s="2442"/>
      <c r="R459" s="2442"/>
      <c r="S459" s="2442"/>
      <c r="T459" s="2442"/>
      <c r="U459" s="2442"/>
      <c r="V459" s="2442"/>
      <c r="W459" s="2442"/>
      <c r="X459" s="2442"/>
      <c r="Y459" s="2442"/>
      <c r="Z459" s="2442"/>
      <c r="AA459" s="2442"/>
      <c r="AB459" s="2442"/>
      <c r="AC459" s="2442"/>
      <c r="AD459" s="2442"/>
      <c r="AE459" s="2442"/>
      <c r="AF459" s="589"/>
      <c r="AG459" s="589"/>
      <c r="AH459" s="589"/>
      <c r="AI459" s="589"/>
      <c r="AJ459" s="589"/>
      <c r="AK459" s="589"/>
      <c r="AL459" s="716"/>
      <c r="AM459" s="568"/>
      <c r="AN459" s="595"/>
    </row>
    <row r="460" spans="1:42" s="549" customFormat="1" ht="12.75" customHeight="1">
      <c r="A460" s="536"/>
      <c r="B460" s="14"/>
      <c r="C460" s="747"/>
      <c r="D460" s="726"/>
      <c r="E460" s="715"/>
      <c r="F460" s="2442"/>
      <c r="G460" s="2442"/>
      <c r="H460" s="2442"/>
      <c r="I460" s="2442"/>
      <c r="J460" s="2442"/>
      <c r="K460" s="2442"/>
      <c r="L460" s="2442"/>
      <c r="M460" s="2442"/>
      <c r="N460" s="2442"/>
      <c r="O460" s="2442"/>
      <c r="P460" s="2442"/>
      <c r="Q460" s="2442"/>
      <c r="R460" s="2442"/>
      <c r="S460" s="2442"/>
      <c r="T460" s="2442"/>
      <c r="U460" s="2442"/>
      <c r="V460" s="2442"/>
      <c r="W460" s="2442"/>
      <c r="X460" s="2442"/>
      <c r="Y460" s="2442"/>
      <c r="Z460" s="2442"/>
      <c r="AA460" s="2442"/>
      <c r="AB460" s="2442"/>
      <c r="AC460" s="2442"/>
      <c r="AD460" s="2442"/>
      <c r="AE460" s="2442"/>
      <c r="AF460" s="589"/>
      <c r="AG460" s="589"/>
      <c r="AH460" s="589"/>
      <c r="AI460" s="589"/>
      <c r="AJ460" s="589"/>
      <c r="AK460" s="589"/>
      <c r="AL460" s="716"/>
      <c r="AM460" s="568"/>
      <c r="AN460" s="595"/>
    </row>
    <row r="461" spans="1:42" s="549" customFormat="1" ht="12.75" customHeight="1">
      <c r="A461" s="536"/>
      <c r="B461" s="14"/>
      <c r="C461" s="747"/>
      <c r="D461" s="726"/>
      <c r="E461" s="715"/>
      <c r="F461" s="2442"/>
      <c r="G461" s="2442"/>
      <c r="H461" s="2442"/>
      <c r="I461" s="2442"/>
      <c r="J461" s="2442"/>
      <c r="K461" s="2442"/>
      <c r="L461" s="2442"/>
      <c r="M461" s="2442"/>
      <c r="N461" s="2442"/>
      <c r="O461" s="2442"/>
      <c r="P461" s="2442"/>
      <c r="Q461" s="2442"/>
      <c r="R461" s="2442"/>
      <c r="S461" s="2442"/>
      <c r="T461" s="2442"/>
      <c r="U461" s="2442"/>
      <c r="V461" s="2442"/>
      <c r="W461" s="2442"/>
      <c r="X461" s="2442"/>
      <c r="Y461" s="2442"/>
      <c r="Z461" s="2442"/>
      <c r="AA461" s="2442"/>
      <c r="AB461" s="2442"/>
      <c r="AC461" s="2442"/>
      <c r="AD461" s="2442"/>
      <c r="AE461" s="2442"/>
      <c r="AL461" s="728"/>
      <c r="AM461" s="568"/>
      <c r="AN461" s="595"/>
    </row>
    <row r="462" spans="1:42" s="549" customFormat="1" ht="12.75" customHeight="1">
      <c r="A462" s="536"/>
      <c r="B462" s="14"/>
      <c r="C462" s="2466" t="s">
        <v>591</v>
      </c>
      <c r="D462" s="2413"/>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2" t="s">
        <v>1452</v>
      </c>
      <c r="AG462" s="2392"/>
      <c r="AH462" s="2392"/>
      <c r="AI462" s="2392"/>
      <c r="AJ462" s="2392"/>
      <c r="AK462" s="2392"/>
      <c r="AL462" s="2473"/>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1" t="s">
        <v>591</v>
      </c>
      <c r="D466" s="2552"/>
      <c r="E466" s="711" t="s">
        <v>1487</v>
      </c>
      <c r="F466" s="2441" t="s">
        <v>1488</v>
      </c>
      <c r="G466" s="2441"/>
      <c r="H466" s="2441"/>
      <c r="I466" s="2441"/>
      <c r="J466" s="2441"/>
      <c r="K466" s="2441"/>
      <c r="L466" s="2441"/>
      <c r="M466" s="2441"/>
      <c r="N466" s="2441"/>
      <c r="O466" s="2441"/>
      <c r="P466" s="2441"/>
      <c r="Q466" s="2441"/>
      <c r="R466" s="2441"/>
      <c r="S466" s="2441"/>
      <c r="T466" s="2441"/>
      <c r="U466" s="2441"/>
      <c r="V466" s="2441"/>
      <c r="W466" s="2441"/>
      <c r="X466" s="2441"/>
      <c r="Y466" s="2441"/>
      <c r="Z466" s="2441"/>
      <c r="AA466" s="2441"/>
      <c r="AB466" s="2441"/>
      <c r="AC466" s="2441"/>
      <c r="AD466" s="2441"/>
      <c r="AE466" s="2441"/>
      <c r="AF466" s="2469" t="s">
        <v>1452</v>
      </c>
      <c r="AG466" s="2469"/>
      <c r="AH466" s="2469"/>
      <c r="AI466" s="2469"/>
      <c r="AJ466" s="2469"/>
      <c r="AK466" s="2469"/>
      <c r="AL466" s="2470"/>
      <c r="AM466" s="568"/>
      <c r="AN466" s="749"/>
    </row>
    <row r="467" spans="1:40" s="549" customFormat="1" ht="12.75" customHeight="1">
      <c r="A467" s="536"/>
      <c r="B467" s="14"/>
      <c r="C467" s="747"/>
      <c r="D467" s="726"/>
      <c r="E467" s="715"/>
      <c r="F467" s="2442"/>
      <c r="G467" s="2442"/>
      <c r="H467" s="2442"/>
      <c r="I467" s="2442"/>
      <c r="J467" s="2442"/>
      <c r="K467" s="2442"/>
      <c r="L467" s="2442"/>
      <c r="M467" s="2442"/>
      <c r="N467" s="2442"/>
      <c r="O467" s="2442"/>
      <c r="P467" s="2442"/>
      <c r="Q467" s="2442"/>
      <c r="R467" s="2442"/>
      <c r="S467" s="2442"/>
      <c r="T467" s="2442"/>
      <c r="U467" s="2442"/>
      <c r="V467" s="2442"/>
      <c r="W467" s="2442"/>
      <c r="X467" s="2442"/>
      <c r="Y467" s="2442"/>
      <c r="Z467" s="2442"/>
      <c r="AA467" s="2442"/>
      <c r="AB467" s="2442"/>
      <c r="AC467" s="2442"/>
      <c r="AD467" s="2442"/>
      <c r="AE467" s="2442"/>
      <c r="AF467" s="589"/>
      <c r="AG467" s="589"/>
      <c r="AH467" s="589"/>
      <c r="AI467" s="589"/>
      <c r="AJ467" s="589"/>
      <c r="AK467" s="589"/>
      <c r="AL467" s="716"/>
      <c r="AM467" s="568"/>
      <c r="AN467" s="750"/>
    </row>
    <row r="468" spans="1:40" s="549" customFormat="1" ht="17.649999999999999" customHeight="1">
      <c r="A468" s="536"/>
      <c r="B468" s="14"/>
      <c r="C468" s="752"/>
      <c r="D468" s="719"/>
      <c r="E468" s="720"/>
      <c r="F468" s="2443"/>
      <c r="G468" s="2443"/>
      <c r="H468" s="2443"/>
      <c r="I468" s="2443"/>
      <c r="J468" s="2443"/>
      <c r="K468" s="2443"/>
      <c r="L468" s="2443"/>
      <c r="M468" s="2443"/>
      <c r="N468" s="2443"/>
      <c r="O468" s="2443"/>
      <c r="P468" s="2443"/>
      <c r="Q468" s="2443"/>
      <c r="R468" s="2443"/>
      <c r="S468" s="2443"/>
      <c r="T468" s="2443"/>
      <c r="U468" s="2443"/>
      <c r="V468" s="2443"/>
      <c r="W468" s="2443"/>
      <c r="X468" s="2443"/>
      <c r="Y468" s="2443"/>
      <c r="Z468" s="2443"/>
      <c r="AA468" s="2443"/>
      <c r="AB468" s="2443"/>
      <c r="AC468" s="2443"/>
      <c r="AD468" s="2443"/>
      <c r="AE468" s="2443"/>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6" t="s">
        <v>591</v>
      </c>
      <c r="D470" s="2413"/>
      <c r="E470" s="711" t="s">
        <v>1493</v>
      </c>
      <c r="F470" s="2441" t="s">
        <v>1494</v>
      </c>
      <c r="G470" s="2441"/>
      <c r="H470" s="2441"/>
      <c r="I470" s="2441"/>
      <c r="J470" s="2441"/>
      <c r="K470" s="2441"/>
      <c r="L470" s="2441"/>
      <c r="M470" s="2441"/>
      <c r="N470" s="2441"/>
      <c r="O470" s="2441"/>
      <c r="P470" s="2441"/>
      <c r="Q470" s="2441"/>
      <c r="R470" s="2441"/>
      <c r="S470" s="2441"/>
      <c r="T470" s="2441"/>
      <c r="U470" s="2441"/>
      <c r="V470" s="2441"/>
      <c r="W470" s="2441"/>
      <c r="X470" s="2441"/>
      <c r="Y470" s="2441"/>
      <c r="Z470" s="2441"/>
      <c r="AA470" s="2441"/>
      <c r="AB470" s="2441"/>
      <c r="AC470" s="2441"/>
      <c r="AD470" s="2441"/>
      <c r="AE470" s="2441"/>
      <c r="AF470" s="2469" t="s">
        <v>1452</v>
      </c>
      <c r="AG470" s="2469"/>
      <c r="AH470" s="2469"/>
      <c r="AI470" s="2469"/>
      <c r="AJ470" s="2469"/>
      <c r="AK470" s="2469"/>
      <c r="AL470" s="2470"/>
      <c r="AM470" s="568"/>
      <c r="AN470" s="535"/>
    </row>
    <row r="471" spans="1:40" s="549" customFormat="1" ht="12.75" customHeight="1">
      <c r="A471" s="536"/>
      <c r="B471" s="14"/>
      <c r="C471" s="727"/>
      <c r="D471" s="14"/>
      <c r="E471" s="687"/>
      <c r="F471" s="2442"/>
      <c r="G471" s="2442"/>
      <c r="H471" s="2442"/>
      <c r="I471" s="2442"/>
      <c r="J471" s="2442"/>
      <c r="K471" s="2442"/>
      <c r="L471" s="2442"/>
      <c r="M471" s="2442"/>
      <c r="N471" s="2442"/>
      <c r="O471" s="2442"/>
      <c r="P471" s="2442"/>
      <c r="Q471" s="2442"/>
      <c r="R471" s="2442"/>
      <c r="S471" s="2442"/>
      <c r="T471" s="2442"/>
      <c r="U471" s="2442"/>
      <c r="V471" s="2442"/>
      <c r="W471" s="2442"/>
      <c r="X471" s="2442"/>
      <c r="Y471" s="2442"/>
      <c r="Z471" s="2442"/>
      <c r="AA471" s="2442"/>
      <c r="AB471" s="2442"/>
      <c r="AC471" s="2442"/>
      <c r="AD471" s="2442"/>
      <c r="AE471" s="2442"/>
      <c r="AF471" s="539"/>
      <c r="AG471" s="536"/>
      <c r="AL471" s="728"/>
      <c r="AM471" s="568"/>
      <c r="AN471" s="535"/>
    </row>
    <row r="472" spans="1:40" s="549" customFormat="1" ht="12.75" customHeight="1">
      <c r="A472" s="536"/>
      <c r="B472" s="14"/>
      <c r="C472" s="727"/>
      <c r="D472" s="14"/>
      <c r="E472" s="687"/>
      <c r="F472" s="2442"/>
      <c r="G472" s="2442"/>
      <c r="H472" s="2442"/>
      <c r="I472" s="2442"/>
      <c r="J472" s="2442"/>
      <c r="K472" s="2442"/>
      <c r="L472" s="2442"/>
      <c r="M472" s="2442"/>
      <c r="N472" s="2442"/>
      <c r="O472" s="2442"/>
      <c r="P472" s="2442"/>
      <c r="Q472" s="2442"/>
      <c r="R472" s="2442"/>
      <c r="S472" s="2442"/>
      <c r="T472" s="2442"/>
      <c r="U472" s="2442"/>
      <c r="V472" s="2442"/>
      <c r="W472" s="2442"/>
      <c r="X472" s="2442"/>
      <c r="Y472" s="2442"/>
      <c r="Z472" s="2442"/>
      <c r="AA472" s="2442"/>
      <c r="AB472" s="2442"/>
      <c r="AC472" s="2442"/>
      <c r="AD472" s="2442"/>
      <c r="AE472" s="2442"/>
      <c r="AF472" s="539"/>
      <c r="AG472" s="536"/>
      <c r="AL472" s="728"/>
      <c r="AM472" s="568"/>
      <c r="AN472" s="535"/>
    </row>
    <row r="473" spans="1:40" s="549" customFormat="1" ht="12.75" customHeight="1">
      <c r="A473" s="536"/>
      <c r="B473" s="14"/>
      <c r="C473" s="752"/>
      <c r="D473" s="719"/>
      <c r="E473" s="720"/>
      <c r="F473" s="2443"/>
      <c r="G473" s="2443"/>
      <c r="H473" s="2443"/>
      <c r="I473" s="2443"/>
      <c r="J473" s="2443"/>
      <c r="K473" s="2443"/>
      <c r="L473" s="2443"/>
      <c r="M473" s="2443"/>
      <c r="N473" s="2443"/>
      <c r="O473" s="2443"/>
      <c r="P473" s="2443"/>
      <c r="Q473" s="2443"/>
      <c r="R473" s="2443"/>
      <c r="S473" s="2443"/>
      <c r="T473" s="2443"/>
      <c r="U473" s="2443"/>
      <c r="V473" s="2443"/>
      <c r="W473" s="2443"/>
      <c r="X473" s="2443"/>
      <c r="Y473" s="2443"/>
      <c r="Z473" s="2443"/>
      <c r="AA473" s="2443"/>
      <c r="AB473" s="2443"/>
      <c r="AC473" s="2443"/>
      <c r="AD473" s="2443"/>
      <c r="AE473" s="2443"/>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41" t="s">
        <v>1497</v>
      </c>
      <c r="G475" s="2441"/>
      <c r="H475" s="2441"/>
      <c r="I475" s="2441"/>
      <c r="J475" s="2441"/>
      <c r="K475" s="2441"/>
      <c r="L475" s="2441"/>
      <c r="M475" s="2441"/>
      <c r="N475" s="2441"/>
      <c r="O475" s="2441"/>
      <c r="P475" s="2441"/>
      <c r="Q475" s="2441"/>
      <c r="R475" s="2441"/>
      <c r="S475" s="2441"/>
      <c r="T475" s="2441"/>
      <c r="U475" s="2441"/>
      <c r="V475" s="2441"/>
      <c r="W475" s="2441"/>
      <c r="X475" s="2441"/>
      <c r="Y475" s="2441"/>
      <c r="Z475" s="2441"/>
      <c r="AA475" s="2441"/>
      <c r="AB475" s="2441"/>
      <c r="AC475" s="2441"/>
      <c r="AD475" s="2441"/>
      <c r="AE475" s="2441"/>
      <c r="AF475" s="2441"/>
      <c r="AG475" s="740"/>
      <c r="AH475" s="710"/>
      <c r="AI475" s="710"/>
      <c r="AJ475" s="710"/>
      <c r="AK475" s="710"/>
      <c r="AL475" s="741"/>
      <c r="AM475" s="568"/>
      <c r="AN475" s="595"/>
    </row>
    <row r="476" spans="1:40" s="549" customFormat="1" ht="12.75" customHeight="1">
      <c r="A476" s="536"/>
      <c r="B476" s="14"/>
      <c r="C476" s="727"/>
      <c r="D476" s="14"/>
      <c r="E476" s="687"/>
      <c r="F476" s="2442"/>
      <c r="G476" s="2442"/>
      <c r="H476" s="2442"/>
      <c r="I476" s="2442"/>
      <c r="J476" s="2442"/>
      <c r="K476" s="2442"/>
      <c r="L476" s="2442"/>
      <c r="M476" s="2442"/>
      <c r="N476" s="2442"/>
      <c r="O476" s="2442"/>
      <c r="P476" s="2442"/>
      <c r="Q476" s="2442"/>
      <c r="R476" s="2442"/>
      <c r="S476" s="2442"/>
      <c r="T476" s="2442"/>
      <c r="U476" s="2442"/>
      <c r="V476" s="2442"/>
      <c r="W476" s="2442"/>
      <c r="X476" s="2442"/>
      <c r="Y476" s="2442"/>
      <c r="Z476" s="2442"/>
      <c r="AA476" s="2442"/>
      <c r="AB476" s="2442"/>
      <c r="AC476" s="2442"/>
      <c r="AD476" s="2442"/>
      <c r="AE476" s="2442"/>
      <c r="AF476" s="2442"/>
      <c r="AL476" s="728"/>
      <c r="AM476" s="568"/>
      <c r="AN476" s="595"/>
    </row>
    <row r="477" spans="1:40" s="549" customFormat="1" ht="12.75" customHeight="1">
      <c r="A477" s="536"/>
      <c r="B477" s="14"/>
      <c r="C477" s="735"/>
      <c r="F477" s="2442"/>
      <c r="G477" s="2442"/>
      <c r="H477" s="2442"/>
      <c r="I477" s="2442"/>
      <c r="J477" s="2442"/>
      <c r="K477" s="2442"/>
      <c r="L477" s="2442"/>
      <c r="M477" s="2442"/>
      <c r="N477" s="2442"/>
      <c r="O477" s="2442"/>
      <c r="P477" s="2442"/>
      <c r="Q477" s="2442"/>
      <c r="R477" s="2442"/>
      <c r="S477" s="2442"/>
      <c r="T477" s="2442"/>
      <c r="U477" s="2442"/>
      <c r="V477" s="2442"/>
      <c r="W477" s="2442"/>
      <c r="X477" s="2442"/>
      <c r="Y477" s="2442"/>
      <c r="Z477" s="2442"/>
      <c r="AA477" s="2442"/>
      <c r="AB477" s="2442"/>
      <c r="AC477" s="2442"/>
      <c r="AD477" s="2442"/>
      <c r="AE477" s="2442"/>
      <c r="AF477" s="2442"/>
      <c r="AL477" s="728"/>
      <c r="AM477" s="568"/>
      <c r="AN477" s="595"/>
    </row>
    <row r="478" spans="1:40" s="549" customFormat="1" ht="12.75" customHeight="1">
      <c r="A478" s="536"/>
      <c r="B478" s="14"/>
      <c r="C478" s="735"/>
      <c r="F478" s="2442"/>
      <c r="G478" s="2442"/>
      <c r="H478" s="2442"/>
      <c r="I478" s="2442"/>
      <c r="J478" s="2442"/>
      <c r="K478" s="2442"/>
      <c r="L478" s="2442"/>
      <c r="M478" s="2442"/>
      <c r="N478" s="2442"/>
      <c r="O478" s="2442"/>
      <c r="P478" s="2442"/>
      <c r="Q478" s="2442"/>
      <c r="R478" s="2442"/>
      <c r="S478" s="2442"/>
      <c r="T478" s="2442"/>
      <c r="U478" s="2442"/>
      <c r="V478" s="2442"/>
      <c r="W478" s="2442"/>
      <c r="X478" s="2442"/>
      <c r="Y478" s="2442"/>
      <c r="Z478" s="2442"/>
      <c r="AA478" s="2442"/>
      <c r="AB478" s="2442"/>
      <c r="AC478" s="2442"/>
      <c r="AD478" s="2442"/>
      <c r="AE478" s="2442"/>
      <c r="AF478" s="2442"/>
      <c r="AL478" s="728"/>
      <c r="AM478" s="568"/>
      <c r="AN478" s="595"/>
    </row>
    <row r="479" spans="1:40" s="549" customFormat="1" ht="12.75" customHeight="1">
      <c r="A479" s="536"/>
      <c r="B479" s="14"/>
      <c r="C479" s="2466" t="s">
        <v>591</v>
      </c>
      <c r="D479" s="2413"/>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7" t="s">
        <v>1452</v>
      </c>
      <c r="AG479" s="2467"/>
      <c r="AH479" s="2467"/>
      <c r="AI479" s="2467"/>
      <c r="AJ479" s="2467"/>
      <c r="AK479" s="2467"/>
      <c r="AL479" s="2468"/>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4">
        <f>IF(Application!D214="N/A",AS371,AS373)</f>
        <v>10</v>
      </c>
      <c r="AL482" s="2440"/>
      <c r="AM482" s="239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1500</v>
      </c>
      <c r="C485" s="539"/>
      <c r="E485" s="594"/>
      <c r="AE485" s="2467" t="s">
        <v>1501</v>
      </c>
      <c r="AF485" s="2467"/>
      <c r="AG485" s="2467"/>
      <c r="AH485" s="2467"/>
      <c r="AI485" s="2467"/>
      <c r="AJ485" s="2467"/>
      <c r="AK485" s="2467"/>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6" t="s">
        <v>591</v>
      </c>
      <c r="D491" s="2417"/>
      <c r="E491" s="757" t="s">
        <v>507</v>
      </c>
      <c r="F491" s="2452" t="s">
        <v>1507</v>
      </c>
      <c r="G491" s="2452"/>
      <c r="H491" s="2452"/>
      <c r="I491" s="2452"/>
      <c r="J491" s="2452"/>
      <c r="K491" s="2452"/>
      <c r="L491" s="2452"/>
      <c r="M491" s="2452"/>
      <c r="N491" s="2452"/>
      <c r="O491" s="2452"/>
      <c r="P491" s="2452"/>
      <c r="Q491" s="2452"/>
      <c r="R491" s="2452"/>
      <c r="S491" s="2452"/>
      <c r="T491" s="2452"/>
      <c r="U491" s="2452"/>
      <c r="V491" s="2452"/>
      <c r="W491" s="2452"/>
      <c r="X491" s="2452"/>
      <c r="Y491" s="2452"/>
      <c r="Z491" s="2452"/>
      <c r="AA491" s="2452"/>
      <c r="AB491" s="2452"/>
      <c r="AC491" s="2452"/>
      <c r="AD491" s="2452"/>
      <c r="AE491" s="2452"/>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3"/>
      <c r="G492" s="2453"/>
      <c r="H492" s="2453"/>
      <c r="I492" s="2453"/>
      <c r="J492" s="2453"/>
      <c r="K492" s="2453"/>
      <c r="L492" s="2453"/>
      <c r="M492" s="2453"/>
      <c r="N492" s="2453"/>
      <c r="O492" s="2453"/>
      <c r="P492" s="2453"/>
      <c r="Q492" s="2453"/>
      <c r="R492" s="2453"/>
      <c r="S492" s="2453"/>
      <c r="T492" s="2453"/>
      <c r="U492" s="2453"/>
      <c r="V492" s="2453"/>
      <c r="W492" s="2453"/>
      <c r="X492" s="2453"/>
      <c r="Y492" s="2453"/>
      <c r="Z492" s="2453"/>
      <c r="AA492" s="2453"/>
      <c r="AB492" s="2453"/>
      <c r="AC492" s="2453"/>
      <c r="AD492" s="2453"/>
      <c r="AE492" s="2453"/>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50" t="s">
        <v>591</v>
      </c>
      <c r="G493" s="2450"/>
      <c r="H493" s="2450"/>
      <c r="I493" s="2450"/>
      <c r="J493" s="2450"/>
      <c r="K493" s="2450"/>
      <c r="L493" s="2450"/>
      <c r="M493" s="2450"/>
      <c r="N493" s="2450"/>
      <c r="O493" s="2450"/>
      <c r="P493" s="2450"/>
      <c r="Q493" s="2450"/>
      <c r="R493" s="2450"/>
      <c r="S493" s="2450"/>
      <c r="T493" s="2450"/>
      <c r="U493" s="2450"/>
      <c r="V493" s="2450"/>
      <c r="W493" s="2450"/>
      <c r="X493" s="2450"/>
      <c r="Y493" s="2450"/>
      <c r="Z493" s="2450"/>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9" t="s">
        <v>545</v>
      </c>
      <c r="D495" s="2420"/>
      <c r="E495" s="757" t="s">
        <v>757</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9" t="s">
        <v>591</v>
      </c>
      <c r="W498" s="2449"/>
      <c r="X498" s="2449"/>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9" t="s">
        <v>591</v>
      </c>
      <c r="W500" s="2449"/>
      <c r="X500" s="2449"/>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9" t="s">
        <v>591</v>
      </c>
      <c r="W505" s="2449"/>
      <c r="X505" s="2449"/>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8"/>
      <c r="E508" s="2418"/>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9" t="s">
        <v>591</v>
      </c>
      <c r="W509" s="2449"/>
      <c r="X509" s="2449"/>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9" t="s">
        <v>591</v>
      </c>
      <c r="W511" s="2449"/>
      <c r="X511" s="2449"/>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6" t="s">
        <v>591</v>
      </c>
      <c r="D514" s="2417"/>
      <c r="E514" s="757" t="s">
        <v>507</v>
      </c>
      <c r="F514" s="2452" t="s">
        <v>1507</v>
      </c>
      <c r="G514" s="2452"/>
      <c r="H514" s="2452"/>
      <c r="I514" s="2452"/>
      <c r="J514" s="2452"/>
      <c r="K514" s="2452"/>
      <c r="L514" s="2452"/>
      <c r="M514" s="2452"/>
      <c r="N514" s="2452"/>
      <c r="O514" s="2452"/>
      <c r="P514" s="2452"/>
      <c r="Q514" s="2452"/>
      <c r="R514" s="2452"/>
      <c r="S514" s="2452"/>
      <c r="T514" s="2452"/>
      <c r="U514" s="2452"/>
      <c r="V514" s="2452"/>
      <c r="W514" s="2452"/>
      <c r="X514" s="2452"/>
      <c r="Y514" s="2452"/>
      <c r="Z514" s="2452"/>
      <c r="AA514" s="2452"/>
      <c r="AB514" s="2452"/>
      <c r="AC514" s="2452"/>
      <c r="AD514" s="2452"/>
      <c r="AE514" s="2452"/>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3"/>
      <c r="G515" s="2453"/>
      <c r="H515" s="2453"/>
      <c r="I515" s="2453"/>
      <c r="J515" s="2453"/>
      <c r="K515" s="2453"/>
      <c r="L515" s="2453"/>
      <c r="M515" s="2453"/>
      <c r="N515" s="2453"/>
      <c r="O515" s="2453"/>
      <c r="P515" s="2453"/>
      <c r="Q515" s="2453"/>
      <c r="R515" s="2453"/>
      <c r="S515" s="2453"/>
      <c r="T515" s="2453"/>
      <c r="U515" s="2453"/>
      <c r="V515" s="2453"/>
      <c r="W515" s="2453"/>
      <c r="X515" s="2453"/>
      <c r="Y515" s="2453"/>
      <c r="Z515" s="2453"/>
      <c r="AA515" s="2453"/>
      <c r="AB515" s="2453"/>
      <c r="AC515" s="2453"/>
      <c r="AD515" s="2453"/>
      <c r="AE515" s="2453"/>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5" t="s">
        <v>591</v>
      </c>
      <c r="G516" s="2445"/>
      <c r="H516" s="2445"/>
      <c r="I516" s="2445"/>
      <c r="J516" s="2445"/>
      <c r="K516" s="2445"/>
      <c r="L516" s="2445"/>
      <c r="M516" s="2445"/>
      <c r="N516" s="2445"/>
      <c r="O516" s="2445"/>
      <c r="P516" s="2445"/>
      <c r="Q516" s="2445"/>
      <c r="R516" s="2445"/>
      <c r="S516" s="2445"/>
      <c r="T516" s="2445"/>
      <c r="U516" s="2445"/>
      <c r="V516" s="2445"/>
      <c r="W516" s="2445"/>
      <c r="X516" s="2445"/>
      <c r="Y516" s="2445"/>
      <c r="Z516" s="2445"/>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6" t="s">
        <v>591</v>
      </c>
      <c r="D518" s="2417"/>
      <c r="E518" s="757" t="s">
        <v>757</v>
      </c>
      <c r="F518" s="2446" t="s">
        <v>1529</v>
      </c>
      <c r="G518" s="2446"/>
      <c r="H518" s="2446"/>
      <c r="I518" s="2446"/>
      <c r="J518" s="2446"/>
      <c r="K518" s="2446"/>
      <c r="L518" s="2446"/>
      <c r="M518" s="2446"/>
      <c r="N518" s="2446"/>
      <c r="O518" s="2446"/>
      <c r="P518" s="2446"/>
      <c r="Q518" s="2446"/>
      <c r="R518" s="2446"/>
      <c r="S518" s="2446"/>
      <c r="T518" s="2446"/>
      <c r="U518" s="2446"/>
      <c r="V518" s="2446"/>
      <c r="W518" s="2446"/>
      <c r="X518" s="2446"/>
      <c r="Y518" s="2446"/>
      <c r="Z518" s="2446"/>
      <c r="AA518" s="2446"/>
      <c r="AB518" s="2446"/>
      <c r="AC518" s="2446"/>
      <c r="AD518" s="2446"/>
      <c r="AE518" s="244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7"/>
      <c r="G519" s="2447"/>
      <c r="H519" s="2447"/>
      <c r="I519" s="2447"/>
      <c r="J519" s="2447"/>
      <c r="K519" s="2447"/>
      <c r="L519" s="2447"/>
      <c r="M519" s="2447"/>
      <c r="N519" s="2447"/>
      <c r="O519" s="2447"/>
      <c r="P519" s="2447"/>
      <c r="Q519" s="2447"/>
      <c r="R519" s="2447"/>
      <c r="S519" s="2447"/>
      <c r="T519" s="2447"/>
      <c r="U519" s="2447"/>
      <c r="V519" s="2447"/>
      <c r="W519" s="2447"/>
      <c r="X519" s="2447"/>
      <c r="Y519" s="2447"/>
      <c r="Z519" s="2447"/>
      <c r="AA519" s="2447"/>
      <c r="AB519" s="2447"/>
      <c r="AC519" s="2447"/>
      <c r="AD519" s="2447"/>
      <c r="AE519" s="244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8" t="s">
        <v>591</v>
      </c>
      <c r="G521" s="2448"/>
      <c r="H521" s="244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6" t="s">
        <v>591</v>
      </c>
      <c r="D523" s="2417"/>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4"/>
      <c r="D525" s="2418"/>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5" t="s">
        <v>591</v>
      </c>
      <c r="H526" s="2475"/>
      <c r="I526" s="2475"/>
      <c r="J526" s="2475"/>
      <c r="K526" s="2475"/>
      <c r="L526" s="2475"/>
      <c r="M526" s="2475"/>
      <c r="N526" s="2475"/>
      <c r="O526" s="2475"/>
      <c r="P526" s="2475"/>
      <c r="Q526" s="2475"/>
      <c r="R526" s="2475"/>
      <c r="S526" s="2475"/>
      <c r="T526" s="2475"/>
      <c r="U526" s="2475"/>
      <c r="V526" s="2475"/>
      <c r="W526" s="2475"/>
      <c r="X526" s="2475"/>
      <c r="Y526" s="2475"/>
      <c r="Z526" s="2475"/>
      <c r="AA526" s="2475"/>
      <c r="AB526" s="2475"/>
      <c r="AC526" s="2475"/>
      <c r="AD526" s="2475"/>
      <c r="AE526" s="2475"/>
      <c r="AF526" s="247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6" t="s">
        <v>591</v>
      </c>
      <c r="D528" s="2477"/>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6" t="s">
        <v>591</v>
      </c>
      <c r="D532" s="2477"/>
      <c r="F532" s="791" t="s">
        <v>1537</v>
      </c>
      <c r="G532" s="2442" t="s">
        <v>1538</v>
      </c>
      <c r="H532" s="2442"/>
      <c r="I532" s="2442"/>
      <c r="J532" s="2442"/>
      <c r="K532" s="2442"/>
      <c r="L532" s="2442"/>
      <c r="M532" s="2442"/>
      <c r="N532" s="2442"/>
      <c r="O532" s="2442"/>
      <c r="P532" s="2442"/>
      <c r="Q532" s="2442"/>
      <c r="R532" s="2442"/>
      <c r="S532" s="2442"/>
      <c r="T532" s="2442"/>
      <c r="U532" s="2442"/>
      <c r="V532" s="2442"/>
      <c r="W532" s="2442"/>
      <c r="X532" s="2442"/>
      <c r="Y532" s="2442"/>
      <c r="Z532" s="2442"/>
      <c r="AA532" s="2442"/>
      <c r="AB532" s="2442"/>
      <c r="AC532" s="2442"/>
      <c r="AD532" s="2442"/>
      <c r="AE532" s="2442"/>
      <c r="AF532" s="2442"/>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3"/>
      <c r="H533" s="2443"/>
      <c r="I533" s="2443"/>
      <c r="J533" s="2443"/>
      <c r="K533" s="2443"/>
      <c r="L533" s="2443"/>
      <c r="M533" s="2443"/>
      <c r="N533" s="2443"/>
      <c r="O533" s="2443"/>
      <c r="P533" s="2443"/>
      <c r="Q533" s="2443"/>
      <c r="R533" s="2443"/>
      <c r="S533" s="2443"/>
      <c r="T533" s="2443"/>
      <c r="U533" s="2443"/>
      <c r="V533" s="2443"/>
      <c r="W533" s="2443"/>
      <c r="X533" s="2443"/>
      <c r="Y533" s="2443"/>
      <c r="Z533" s="2443"/>
      <c r="AA533" s="2443"/>
      <c r="AB533" s="2443"/>
      <c r="AC533" s="2443"/>
      <c r="AD533" s="2443"/>
      <c r="AE533" s="2443"/>
      <c r="AF533" s="2443"/>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8" t="s">
        <v>591</v>
      </c>
      <c r="D536" s="2479"/>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0" t="s">
        <v>591</v>
      </c>
      <c r="G537" s="2480"/>
      <c r="H537" s="2480"/>
      <c r="I537" s="2480"/>
      <c r="J537" s="2480"/>
      <c r="K537" s="2480"/>
      <c r="L537" s="2480"/>
      <c r="M537" s="2480"/>
      <c r="N537" s="2480"/>
      <c r="O537" s="2480"/>
      <c r="P537" s="2480"/>
      <c r="Q537" s="2480"/>
      <c r="R537" s="2480"/>
      <c r="S537" s="2480"/>
      <c r="T537" s="2480"/>
      <c r="U537" s="2480"/>
      <c r="V537" s="2480"/>
      <c r="W537" s="2480"/>
      <c r="X537" s="2480"/>
      <c r="Y537" s="2480"/>
      <c r="Z537" s="2480"/>
      <c r="AA537" s="2480"/>
      <c r="AB537" s="2480"/>
      <c r="AC537" s="2480"/>
      <c r="AD537" s="2480"/>
      <c r="AE537" s="2480"/>
      <c r="AF537" s="248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1"/>
      <c r="G538" s="2481"/>
      <c r="H538" s="2481"/>
      <c r="I538" s="2481"/>
      <c r="J538" s="2481"/>
      <c r="K538" s="2481"/>
      <c r="L538" s="2481"/>
      <c r="M538" s="2481"/>
      <c r="N538" s="2481"/>
      <c r="O538" s="2481"/>
      <c r="P538" s="2481"/>
      <c r="Q538" s="2481"/>
      <c r="R538" s="2481"/>
      <c r="S538" s="2481"/>
      <c r="T538" s="2481"/>
      <c r="U538" s="2481"/>
      <c r="V538" s="2481"/>
      <c r="W538" s="2481"/>
      <c r="X538" s="2481"/>
      <c r="Y538" s="2481"/>
      <c r="Z538" s="2481"/>
      <c r="AA538" s="2481"/>
      <c r="AB538" s="2481"/>
      <c r="AC538" s="2481"/>
      <c r="AD538" s="2481"/>
      <c r="AE538" s="2481"/>
      <c r="AF538" s="248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4">
        <f>SUM(AG492:AG537)</f>
        <v>0</v>
      </c>
      <c r="AL548" s="2440"/>
      <c r="AM548" s="239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1" t="s">
        <v>1550</v>
      </c>
      <c r="AF551" s="2451"/>
      <c r="AG551" s="2451"/>
      <c r="AH551" s="2451"/>
      <c r="AI551" s="2451"/>
      <c r="AJ551" s="2451"/>
      <c r="AK551" s="2451"/>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3" t="s">
        <v>545</v>
      </c>
      <c r="D554" s="2413"/>
      <c r="E554" s="550"/>
      <c r="F554" s="2553" t="s">
        <v>1551</v>
      </c>
      <c r="G554" s="2554"/>
      <c r="H554" s="2554"/>
      <c r="I554" s="2554"/>
      <c r="J554" s="2554"/>
      <c r="K554" s="2554"/>
      <c r="L554" s="2554"/>
      <c r="M554" s="2554"/>
      <c r="N554" s="2554"/>
      <c r="O554" s="2554"/>
      <c r="P554" s="2554"/>
      <c r="Q554" s="2554"/>
      <c r="R554" s="2554"/>
      <c r="S554" s="2554"/>
      <c r="T554" s="2554"/>
      <c r="U554" s="2554"/>
      <c r="V554" s="2554"/>
      <c r="W554" s="2554"/>
      <c r="X554" s="2554"/>
      <c r="Y554" s="2554"/>
      <c r="Z554" s="2554"/>
      <c r="AA554" s="2554"/>
      <c r="AB554" s="2554"/>
      <c r="AC554" s="2554"/>
      <c r="AD554" s="2554"/>
      <c r="AE554" s="2554"/>
      <c r="AF554" s="2554"/>
      <c r="AG554" s="2554"/>
      <c r="AH554" s="2554"/>
      <c r="AI554" s="2554"/>
      <c r="AJ554" s="2554"/>
      <c r="AK554" s="2554"/>
      <c r="AL554" s="2555"/>
      <c r="AM554" s="593"/>
      <c r="AN554" s="595"/>
    </row>
    <row r="555" spans="1:81" s="549" customFormat="1" ht="12.75" customHeight="1">
      <c r="B555" s="539"/>
      <c r="C555" s="550"/>
      <c r="D555" s="550"/>
      <c r="E555" s="550"/>
      <c r="F555" s="2556"/>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7"/>
      <c r="AK555" s="2557"/>
      <c r="AL555" s="2558"/>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3" t="s">
        <v>591</v>
      </c>
      <c r="D557" s="2413"/>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3" t="s">
        <v>2629</v>
      </c>
      <c r="G558" s="2391"/>
      <c r="H558" s="2391"/>
      <c r="I558" s="2391"/>
      <c r="J558" s="2391"/>
      <c r="K558" s="2391"/>
      <c r="L558" s="2391"/>
      <c r="M558" s="2391"/>
      <c r="N558" s="2391"/>
      <c r="O558" s="2391"/>
      <c r="P558" s="2391"/>
      <c r="Q558" s="2391"/>
      <c r="R558" s="2391"/>
      <c r="S558" s="2391"/>
      <c r="T558" s="2391"/>
      <c r="U558" s="2391"/>
      <c r="V558" s="2391"/>
      <c r="W558" s="2391"/>
      <c r="X558" s="2391"/>
      <c r="Y558" s="2391"/>
      <c r="Z558" s="2391"/>
      <c r="AA558" s="2391"/>
      <c r="AB558" s="2391"/>
      <c r="AC558" s="2391"/>
      <c r="AD558" s="2391"/>
      <c r="AE558" s="2391"/>
      <c r="AF558" s="2391"/>
      <c r="AG558" s="2391"/>
      <c r="AH558" s="2391"/>
      <c r="AI558" s="2391"/>
      <c r="AJ558" s="2391"/>
      <c r="AK558" s="2391"/>
      <c r="AL558" s="2434"/>
      <c r="AM558" s="593"/>
      <c r="AN558" s="595"/>
      <c r="AS558" s="866"/>
      <c r="AT558" s="866"/>
      <c r="AU558" s="866"/>
      <c r="AV558" s="866"/>
      <c r="AW558" s="866"/>
    </row>
    <row r="559" spans="1:81" s="549" customFormat="1" ht="12.75" customHeight="1">
      <c r="B559" s="802"/>
      <c r="C559" s="802"/>
      <c r="D559" s="802"/>
      <c r="E559" s="802"/>
      <c r="F559" s="2433"/>
      <c r="G559" s="2391"/>
      <c r="H559" s="2391"/>
      <c r="I559" s="2391"/>
      <c r="J559" s="2391"/>
      <c r="K559" s="2391"/>
      <c r="L559" s="2391"/>
      <c r="M559" s="2391"/>
      <c r="N559" s="2391"/>
      <c r="O559" s="2391"/>
      <c r="P559" s="2391"/>
      <c r="Q559" s="2391"/>
      <c r="R559" s="2391"/>
      <c r="S559" s="2391"/>
      <c r="T559" s="2391"/>
      <c r="U559" s="2391"/>
      <c r="V559" s="2391"/>
      <c r="W559" s="2391"/>
      <c r="X559" s="2391"/>
      <c r="Y559" s="2391"/>
      <c r="Z559" s="2391"/>
      <c r="AA559" s="2391"/>
      <c r="AB559" s="2391"/>
      <c r="AC559" s="2391"/>
      <c r="AD559" s="2391"/>
      <c r="AE559" s="2391"/>
      <c r="AF559" s="2391"/>
      <c r="AG559" s="2391"/>
      <c r="AH559" s="2391"/>
      <c r="AI559" s="2391"/>
      <c r="AJ559" s="2391"/>
      <c r="AK559" s="2391"/>
      <c r="AL559" s="2434"/>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3" t="s">
        <v>1553</v>
      </c>
      <c r="G561" s="2391"/>
      <c r="H561" s="2391"/>
      <c r="I561" s="2391"/>
      <c r="J561" s="2391"/>
      <c r="K561" s="2391"/>
      <c r="L561" s="2391"/>
      <c r="M561" s="2391"/>
      <c r="N561" s="2391"/>
      <c r="O561" s="2391"/>
      <c r="P561" s="2391"/>
      <c r="Q561" s="2391"/>
      <c r="R561" s="2391"/>
      <c r="S561" s="2391"/>
      <c r="T561" s="2391"/>
      <c r="U561" s="2391"/>
      <c r="V561" s="2391"/>
      <c r="W561" s="2391"/>
      <c r="X561" s="2391"/>
      <c r="Y561" s="2391"/>
      <c r="Z561" s="2391"/>
      <c r="AA561" s="2391"/>
      <c r="AB561" s="2391"/>
      <c r="AC561" s="2391"/>
      <c r="AD561" s="2391"/>
      <c r="AE561" s="2391"/>
      <c r="AF561" s="2391"/>
      <c r="AG561" s="2391"/>
      <c r="AH561" s="2391"/>
      <c r="AI561" s="2391"/>
      <c r="AJ561" s="2391"/>
      <c r="AK561" s="2391"/>
      <c r="AL561" s="809"/>
      <c r="AM561" s="593"/>
      <c r="AN561" s="595"/>
    </row>
    <row r="562" spans="1:45" s="549" customFormat="1" ht="12.75" customHeight="1">
      <c r="B562" s="802"/>
      <c r="C562" s="802"/>
      <c r="D562" s="802"/>
      <c r="E562" s="802"/>
      <c r="F562" s="2435"/>
      <c r="G562" s="2436"/>
      <c r="H562" s="2436"/>
      <c r="I562" s="2436"/>
      <c r="J562" s="2436"/>
      <c r="K562" s="2436"/>
      <c r="L562" s="2436"/>
      <c r="M562" s="2436"/>
      <c r="N562" s="2436"/>
      <c r="O562" s="2436"/>
      <c r="P562" s="2436"/>
      <c r="Q562" s="2436"/>
      <c r="R562" s="2436"/>
      <c r="S562" s="2436"/>
      <c r="T562" s="2436"/>
      <c r="U562" s="2436"/>
      <c r="V562" s="2436"/>
      <c r="W562" s="2436"/>
      <c r="X562" s="2436"/>
      <c r="Y562" s="2436"/>
      <c r="Z562" s="2436"/>
      <c r="AA562" s="2436"/>
      <c r="AB562" s="2436"/>
      <c r="AC562" s="2436"/>
      <c r="AD562" s="2436"/>
      <c r="AE562" s="2436"/>
      <c r="AF562" s="2436"/>
      <c r="AG562" s="2436"/>
      <c r="AH562" s="2436"/>
      <c r="AI562" s="2436"/>
      <c r="AJ562" s="2436"/>
      <c r="AK562" s="2436"/>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2">
        <f>Application!AJ1001</f>
        <v>85814607</v>
      </c>
      <c r="AQ563" s="2432"/>
      <c r="AR563" s="2432"/>
      <c r="AS563" s="549" t="s">
        <v>2124</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7">
        <f>'Sources and Uses Budget'!S107+'Sources and Uses Budget'!T107</f>
        <v>51657527</v>
      </c>
      <c r="AG564" s="2437"/>
      <c r="AH564" s="2437"/>
      <c r="AI564" s="2437"/>
      <c r="AJ564" s="2437"/>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8">
        <f>IFERROR(AP572,0)</f>
        <v>142452248.22</v>
      </c>
      <c r="AG565" s="2438"/>
      <c r="AH565" s="2438"/>
      <c r="AI565" s="2438"/>
      <c r="AJ565" s="2438"/>
      <c r="AK565" s="593"/>
      <c r="AL565" s="593"/>
      <c r="AM565" s="593"/>
      <c r="AN565" s="595"/>
      <c r="AP565" s="2432">
        <f>Application!AJ1054</f>
        <v>0</v>
      </c>
      <c r="AQ565" s="2432"/>
      <c r="AR565" s="2432"/>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9">
        <f>IFERROR(ROUNDDOWN(IF(C557="YES",((1-(AF564/AF565))*2),(1-(AF564/AF565))),2),0)</f>
        <v>0.63</v>
      </c>
      <c r="AG566" s="2439"/>
      <c r="AH566" s="2439"/>
      <c r="AI566" s="2439"/>
      <c r="AJ566" s="2439"/>
      <c r="AK566" s="593"/>
      <c r="AL566" s="593"/>
      <c r="AM566" s="593"/>
      <c r="AN566" s="595"/>
      <c r="AP566" s="2430">
        <f>Application!AJ1058</f>
        <v>39474719.219999999</v>
      </c>
      <c r="AQ566" s="2430"/>
      <c r="AR566" s="2430"/>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0">
        <f>IF(((AP565+AP566)/AP563)&gt;0.8,0.8,((AP565+AP566)/AP563))</f>
        <v>0.45999999999999996</v>
      </c>
      <c r="AQ567" s="2460"/>
      <c r="AR567" s="2460"/>
      <c r="AS567" s="549" t="s">
        <v>2126</v>
      </c>
    </row>
    <row r="568" spans="1:45" s="549" customFormat="1" ht="12.75" customHeight="1">
      <c r="A568" s="622"/>
      <c r="B568" s="2510" t="s">
        <v>1992</v>
      </c>
      <c r="C568" s="2511"/>
      <c r="D568" s="2511"/>
      <c r="E568" s="2511"/>
      <c r="F568" s="2511"/>
      <c r="G568" s="2511"/>
      <c r="H568" s="2511"/>
      <c r="I568" s="2511"/>
      <c r="J568" s="2511"/>
      <c r="K568" s="2511"/>
      <c r="L568" s="2511"/>
      <c r="M568" s="2511"/>
      <c r="N568" s="2511"/>
      <c r="O568" s="2511"/>
      <c r="P568" s="2511"/>
      <c r="Q568" s="2511"/>
      <c r="R568" s="2511"/>
      <c r="S568" s="2511"/>
      <c r="T568" s="2511"/>
      <c r="U568" s="2511"/>
      <c r="V568" s="2511"/>
      <c r="W568" s="2511"/>
      <c r="X568" s="2511"/>
      <c r="Y568" s="2511"/>
      <c r="Z568" s="2511"/>
      <c r="AA568" s="2511"/>
      <c r="AB568" s="2511"/>
      <c r="AC568" s="2511"/>
      <c r="AD568" s="2511"/>
      <c r="AE568" s="2511"/>
      <c r="AF568" s="2511"/>
      <c r="AG568" s="2511"/>
      <c r="AH568" s="2511"/>
      <c r="AI568" s="2511"/>
      <c r="AJ568" s="2512"/>
      <c r="AK568" s="593"/>
      <c r="AL568" s="593"/>
      <c r="AM568" s="593"/>
      <c r="AN568" s="595"/>
    </row>
    <row r="569" spans="1:45" s="549" customFormat="1" ht="12.75" customHeight="1">
      <c r="A569" s="622"/>
      <c r="B569" s="2513"/>
      <c r="C569" s="2514"/>
      <c r="D569" s="2514"/>
      <c r="E569" s="2514"/>
      <c r="F569" s="2514"/>
      <c r="G569" s="2514"/>
      <c r="H569" s="2514"/>
      <c r="I569" s="2514"/>
      <c r="J569" s="2514"/>
      <c r="K569" s="2514"/>
      <c r="L569" s="2514"/>
      <c r="M569" s="2514"/>
      <c r="N569" s="2514"/>
      <c r="O569" s="2514"/>
      <c r="P569" s="2514"/>
      <c r="Q569" s="2514"/>
      <c r="R569" s="2514"/>
      <c r="S569" s="2514"/>
      <c r="T569" s="2514"/>
      <c r="U569" s="2514"/>
      <c r="V569" s="2514"/>
      <c r="W569" s="2514"/>
      <c r="X569" s="2514"/>
      <c r="Y569" s="2514"/>
      <c r="Z569" s="2514"/>
      <c r="AA569" s="2514"/>
      <c r="AB569" s="2514"/>
      <c r="AC569" s="2514"/>
      <c r="AD569" s="2514"/>
      <c r="AE569" s="2514"/>
      <c r="AF569" s="2514"/>
      <c r="AG569" s="2514"/>
      <c r="AH569" s="2514"/>
      <c r="AI569" s="2514"/>
      <c r="AJ569" s="2515"/>
      <c r="AK569" s="593"/>
      <c r="AL569" s="593"/>
      <c r="AM569" s="593"/>
      <c r="AN569" s="595"/>
      <c r="AP569" s="2432">
        <f>AP570-AP565-AP566</f>
        <v>102977529</v>
      </c>
      <c r="AQ569" s="2461"/>
      <c r="AR569" s="2461"/>
      <c r="AS569" s="549" t="s">
        <v>2128</v>
      </c>
    </row>
    <row r="570" spans="1:45" s="549" customFormat="1" ht="12.75" customHeight="1">
      <c r="A570" s="622"/>
      <c r="B570" s="2516"/>
      <c r="C570" s="2517"/>
      <c r="D570" s="2517"/>
      <c r="E570" s="2517"/>
      <c r="F570" s="2517"/>
      <c r="G570" s="2517"/>
      <c r="H570" s="2517"/>
      <c r="I570" s="2517"/>
      <c r="J570" s="2517"/>
      <c r="K570" s="2517"/>
      <c r="L570" s="2517"/>
      <c r="M570" s="2517"/>
      <c r="N570" s="2517"/>
      <c r="O570" s="2517"/>
      <c r="P570" s="2517"/>
      <c r="Q570" s="2517"/>
      <c r="R570" s="2517"/>
      <c r="S570" s="2517"/>
      <c r="T570" s="2517"/>
      <c r="U570" s="2517"/>
      <c r="V570" s="2517"/>
      <c r="W570" s="2517"/>
      <c r="X570" s="2517"/>
      <c r="Y570" s="2517"/>
      <c r="Z570" s="2517"/>
      <c r="AA570" s="2517"/>
      <c r="AB570" s="2517"/>
      <c r="AC570" s="2517"/>
      <c r="AD570" s="2517"/>
      <c r="AE570" s="2517"/>
      <c r="AF570" s="2517"/>
      <c r="AG570" s="2517"/>
      <c r="AH570" s="2517"/>
      <c r="AI570" s="2517"/>
      <c r="AJ570" s="2518"/>
      <c r="AK570" s="593"/>
      <c r="AL570" s="593"/>
      <c r="AM570" s="593"/>
      <c r="AN570" s="595"/>
      <c r="AP570" s="2432">
        <f>Application!AJ1062</f>
        <v>142452248.22</v>
      </c>
      <c r="AQ570" s="2432"/>
      <c r="AR570" s="2432"/>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9">
        <f>IFERROR(IF(AND(C554="N/A",C557="N/A"),0,IF(AF566=0,0,IF((AF566*100)&gt;12,12,(AF566*100)))),0)</f>
        <v>12</v>
      </c>
      <c r="AL572" s="2519"/>
      <c r="AM572" s="2520"/>
      <c r="AN572" s="595"/>
      <c r="AP572" s="2421">
        <f>AP569+(AP563*AP567)</f>
        <v>142452248.22</v>
      </c>
      <c r="AQ572" s="2422"/>
      <c r="AR572" s="2423"/>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1" t="s">
        <v>1307</v>
      </c>
      <c r="AF575" s="2451"/>
      <c r="AG575" s="2451"/>
      <c r="AH575" s="2451"/>
      <c r="AI575" s="2451"/>
      <c r="AJ575" s="2451"/>
      <c r="AK575" s="2451"/>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1" t="s">
        <v>1984</v>
      </c>
      <c r="C577" s="2391"/>
      <c r="D577" s="2391"/>
      <c r="E577" s="2391"/>
      <c r="F577" s="2391"/>
      <c r="G577" s="2391"/>
      <c r="H577" s="2391"/>
      <c r="I577" s="2391"/>
      <c r="J577" s="2391"/>
      <c r="K577" s="2391"/>
      <c r="L577" s="2391"/>
      <c r="M577" s="2391"/>
      <c r="N577" s="2391"/>
      <c r="O577" s="2391"/>
      <c r="P577" s="2391"/>
      <c r="Q577" s="2391"/>
      <c r="R577" s="2391"/>
      <c r="S577" s="2391"/>
      <c r="T577" s="2391"/>
      <c r="U577" s="2391"/>
      <c r="V577" s="2391"/>
      <c r="W577" s="2391"/>
      <c r="X577" s="2391"/>
      <c r="Y577" s="2391"/>
      <c r="Z577" s="2391"/>
      <c r="AA577" s="2391"/>
      <c r="AB577" s="2391"/>
      <c r="AC577" s="2391"/>
      <c r="AD577" s="2391"/>
      <c r="AE577" s="2391"/>
      <c r="AF577" s="2391"/>
      <c r="AG577" s="2391"/>
      <c r="AH577" s="2391"/>
      <c r="AI577" s="2391"/>
      <c r="AJ577" s="2391"/>
      <c r="AK577" s="640"/>
      <c r="AL577" s="571"/>
      <c r="AM577" s="601"/>
      <c r="AN577" s="595"/>
    </row>
    <row r="578" spans="1:42" s="549" customFormat="1" ht="12.75" customHeight="1">
      <c r="A578" s="601"/>
      <c r="B578" s="2391"/>
      <c r="C578" s="2391"/>
      <c r="D578" s="2391"/>
      <c r="E578" s="2391"/>
      <c r="F578" s="2391"/>
      <c r="G578" s="2391"/>
      <c r="H578" s="2391"/>
      <c r="I578" s="2391"/>
      <c r="J578" s="2391"/>
      <c r="K578" s="2391"/>
      <c r="L578" s="2391"/>
      <c r="M578" s="2391"/>
      <c r="N578" s="2391"/>
      <c r="O578" s="2391"/>
      <c r="P578" s="2391"/>
      <c r="Q578" s="2391"/>
      <c r="R578" s="2391"/>
      <c r="S578" s="2391"/>
      <c r="T578" s="2391"/>
      <c r="U578" s="2391"/>
      <c r="V578" s="2391"/>
      <c r="W578" s="2391"/>
      <c r="X578" s="2391"/>
      <c r="Y578" s="2391"/>
      <c r="Z578" s="2391"/>
      <c r="AA578" s="2391"/>
      <c r="AB578" s="2391"/>
      <c r="AC578" s="2391"/>
      <c r="AD578" s="2391"/>
      <c r="AE578" s="2391"/>
      <c r="AF578" s="2391"/>
      <c r="AG578" s="2391"/>
      <c r="AH578" s="2391"/>
      <c r="AI578" s="2391"/>
      <c r="AJ578" s="2391"/>
      <c r="AK578" s="640"/>
      <c r="AL578" s="571"/>
      <c r="AM578" s="601"/>
      <c r="AN578" s="595"/>
    </row>
    <row r="579" spans="1:42" s="549" customFormat="1" ht="12.75" customHeight="1">
      <c r="A579" s="601"/>
      <c r="B579" s="2391"/>
      <c r="C579" s="2391"/>
      <c r="D579" s="2391"/>
      <c r="E579" s="2391"/>
      <c r="F579" s="2391"/>
      <c r="G579" s="2391"/>
      <c r="H579" s="2391"/>
      <c r="I579" s="2391"/>
      <c r="J579" s="2391"/>
      <c r="K579" s="2391"/>
      <c r="L579" s="2391"/>
      <c r="M579" s="2391"/>
      <c r="N579" s="2391"/>
      <c r="O579" s="2391"/>
      <c r="P579" s="2391"/>
      <c r="Q579" s="2391"/>
      <c r="R579" s="2391"/>
      <c r="S579" s="2391"/>
      <c r="T579" s="2391"/>
      <c r="U579" s="2391"/>
      <c r="V579" s="2391"/>
      <c r="W579" s="2391"/>
      <c r="X579" s="2391"/>
      <c r="Y579" s="2391"/>
      <c r="Z579" s="2391"/>
      <c r="AA579" s="2391"/>
      <c r="AB579" s="2391"/>
      <c r="AC579" s="2391"/>
      <c r="AD579" s="2391"/>
      <c r="AE579" s="2391"/>
      <c r="AF579" s="2391"/>
      <c r="AG579" s="2391"/>
      <c r="AH579" s="2391"/>
      <c r="AI579" s="2391"/>
      <c r="AJ579" s="2391"/>
      <c r="AK579" s="640"/>
      <c r="AL579" s="571"/>
      <c r="AM579" s="601"/>
      <c r="AN579" s="595"/>
    </row>
    <row r="580" spans="1:42" s="549" customFormat="1" ht="12.75" customHeight="1">
      <c r="A580" s="601"/>
      <c r="B580" s="2391"/>
      <c r="C580" s="2391"/>
      <c r="D580" s="2391"/>
      <c r="E580" s="2391"/>
      <c r="F580" s="2391"/>
      <c r="G580" s="2391"/>
      <c r="H580" s="2391"/>
      <c r="I580" s="2391"/>
      <c r="J580" s="2391"/>
      <c r="K580" s="2391"/>
      <c r="L580" s="2391"/>
      <c r="M580" s="2391"/>
      <c r="N580" s="2391"/>
      <c r="O580" s="2391"/>
      <c r="P580" s="2391"/>
      <c r="Q580" s="2391"/>
      <c r="R580" s="2391"/>
      <c r="S580" s="2391"/>
      <c r="T580" s="2391"/>
      <c r="U580" s="2391"/>
      <c r="V580" s="2391"/>
      <c r="W580" s="2391"/>
      <c r="X580" s="2391"/>
      <c r="Y580" s="2391"/>
      <c r="Z580" s="2391"/>
      <c r="AA580" s="2391"/>
      <c r="AB580" s="2391"/>
      <c r="AC580" s="2391"/>
      <c r="AD580" s="2391"/>
      <c r="AE580" s="2391"/>
      <c r="AF580" s="2391"/>
      <c r="AG580" s="2391"/>
      <c r="AH580" s="2391"/>
      <c r="AI580" s="2391"/>
      <c r="AJ580" s="2391"/>
      <c r="AK580" s="640"/>
      <c r="AL580" s="571"/>
      <c r="AM580" s="601"/>
      <c r="AN580" s="595"/>
    </row>
    <row r="581" spans="1:42" s="549" customFormat="1" ht="12.75" customHeight="1">
      <c r="A581" s="601"/>
      <c r="B581" s="2391"/>
      <c r="C581" s="2391"/>
      <c r="D581" s="2391"/>
      <c r="E581" s="2391"/>
      <c r="F581" s="2391"/>
      <c r="G581" s="2391"/>
      <c r="H581" s="2391"/>
      <c r="I581" s="2391"/>
      <c r="J581" s="2391"/>
      <c r="K581" s="2391"/>
      <c r="L581" s="2391"/>
      <c r="M581" s="2391"/>
      <c r="N581" s="2391"/>
      <c r="O581" s="2391"/>
      <c r="P581" s="2391"/>
      <c r="Q581" s="2391"/>
      <c r="R581" s="2391"/>
      <c r="S581" s="2391"/>
      <c r="T581" s="2391"/>
      <c r="U581" s="2391"/>
      <c r="V581" s="2391"/>
      <c r="W581" s="2391"/>
      <c r="X581" s="2391"/>
      <c r="Y581" s="2391"/>
      <c r="Z581" s="2391"/>
      <c r="AA581" s="2391"/>
      <c r="AB581" s="2391"/>
      <c r="AC581" s="2391"/>
      <c r="AD581" s="2391"/>
      <c r="AE581" s="2391"/>
      <c r="AF581" s="2391"/>
      <c r="AG581" s="2391"/>
      <c r="AH581" s="2391"/>
      <c r="AI581" s="2391"/>
      <c r="AJ581" s="2391"/>
      <c r="AK581" s="640"/>
      <c r="AL581" s="571"/>
      <c r="AM581" s="601"/>
      <c r="AN581" s="595"/>
    </row>
    <row r="582" spans="1:42" s="549" customFormat="1" ht="12.75" customHeight="1">
      <c r="A582" s="601"/>
      <c r="B582" s="2391"/>
      <c r="C582" s="2391"/>
      <c r="D582" s="2391"/>
      <c r="E582" s="2391"/>
      <c r="F582" s="2391"/>
      <c r="G582" s="2391"/>
      <c r="H582" s="2391"/>
      <c r="I582" s="2391"/>
      <c r="J582" s="2391"/>
      <c r="K582" s="2391"/>
      <c r="L582" s="2391"/>
      <c r="M582" s="2391"/>
      <c r="N582" s="2391"/>
      <c r="O582" s="2391"/>
      <c r="P582" s="2391"/>
      <c r="Q582" s="2391"/>
      <c r="R582" s="2391"/>
      <c r="S582" s="2391"/>
      <c r="T582" s="2391"/>
      <c r="U582" s="2391"/>
      <c r="V582" s="2391"/>
      <c r="W582" s="2391"/>
      <c r="X582" s="2391"/>
      <c r="Y582" s="2391"/>
      <c r="Z582" s="2391"/>
      <c r="AA582" s="2391"/>
      <c r="AB582" s="2391"/>
      <c r="AC582" s="2391"/>
      <c r="AD582" s="2391"/>
      <c r="AE582" s="2391"/>
      <c r="AF582" s="2391"/>
      <c r="AG582" s="2391"/>
      <c r="AH582" s="2391"/>
      <c r="AI582" s="2391"/>
      <c r="AJ582" s="2391"/>
      <c r="AK582" s="640"/>
      <c r="AL582" s="571"/>
      <c r="AM582" s="601"/>
      <c r="AN582" s="595"/>
    </row>
    <row r="583" spans="1:42" s="549" customFormat="1" ht="12.75" customHeight="1">
      <c r="A583" s="601"/>
      <c r="B583" s="2391"/>
      <c r="C583" s="2391"/>
      <c r="D583" s="2391"/>
      <c r="E583" s="2391"/>
      <c r="F583" s="2391"/>
      <c r="G583" s="2391"/>
      <c r="H583" s="2391"/>
      <c r="I583" s="2391"/>
      <c r="J583" s="2391"/>
      <c r="K583" s="2391"/>
      <c r="L583" s="2391"/>
      <c r="M583" s="2391"/>
      <c r="N583" s="2391"/>
      <c r="O583" s="2391"/>
      <c r="P583" s="2391"/>
      <c r="Q583" s="2391"/>
      <c r="R583" s="2391"/>
      <c r="S583" s="2391"/>
      <c r="T583" s="2391"/>
      <c r="U583" s="2391"/>
      <c r="V583" s="2391"/>
      <c r="W583" s="2391"/>
      <c r="X583" s="2391"/>
      <c r="Y583" s="2391"/>
      <c r="Z583" s="2391"/>
      <c r="AA583" s="2391"/>
      <c r="AB583" s="2391"/>
      <c r="AC583" s="2391"/>
      <c r="AD583" s="2391"/>
      <c r="AE583" s="2391"/>
      <c r="AF583" s="2391"/>
      <c r="AG583" s="2391"/>
      <c r="AH583" s="2391"/>
      <c r="AI583" s="2391"/>
      <c r="AJ583" s="2391"/>
      <c r="AK583" s="640"/>
      <c r="AL583" s="571"/>
      <c r="AM583" s="601"/>
      <c r="AN583" s="595"/>
    </row>
    <row r="584" spans="1:42" ht="12.75" customHeight="1">
      <c r="A584" s="601"/>
      <c r="B584" s="2391"/>
      <c r="C584" s="2391"/>
      <c r="D584" s="2391"/>
      <c r="E584" s="2391"/>
      <c r="F584" s="2391"/>
      <c r="G584" s="2391"/>
      <c r="H584" s="2391"/>
      <c r="I584" s="2391"/>
      <c r="J584" s="2391"/>
      <c r="K584" s="2391"/>
      <c r="L584" s="2391"/>
      <c r="M584" s="2391"/>
      <c r="N584" s="2391"/>
      <c r="O584" s="2391"/>
      <c r="P584" s="2391"/>
      <c r="Q584" s="2391"/>
      <c r="R584" s="2391"/>
      <c r="S584" s="2391"/>
      <c r="T584" s="2391"/>
      <c r="U584" s="2391"/>
      <c r="V584" s="2391"/>
      <c r="W584" s="2391"/>
      <c r="X584" s="2391"/>
      <c r="Y584" s="2391"/>
      <c r="Z584" s="2391"/>
      <c r="AA584" s="2391"/>
      <c r="AB584" s="2391"/>
      <c r="AC584" s="2391"/>
      <c r="AD584" s="2391"/>
      <c r="AE584" s="2391"/>
      <c r="AF584" s="2391"/>
      <c r="AG584" s="2391"/>
      <c r="AH584" s="2391"/>
      <c r="AI584" s="2391"/>
      <c r="AJ584" s="2391"/>
      <c r="AK584" s="640"/>
      <c r="AL584" s="571"/>
      <c r="AM584" s="601"/>
    </row>
    <row r="585" spans="1:42" s="549" customFormat="1" ht="12.75" customHeight="1">
      <c r="B585" s="2391"/>
      <c r="C585" s="2391"/>
      <c r="D585" s="2391"/>
      <c r="E585" s="2391"/>
      <c r="F585" s="2391"/>
      <c r="G585" s="2391"/>
      <c r="H585" s="2391"/>
      <c r="I585" s="2391"/>
      <c r="J585" s="2391"/>
      <c r="K585" s="2391"/>
      <c r="L585" s="2391"/>
      <c r="M585" s="2391"/>
      <c r="N585" s="2391"/>
      <c r="O585" s="2391"/>
      <c r="P585" s="2391"/>
      <c r="Q585" s="2391"/>
      <c r="R585" s="2391"/>
      <c r="S585" s="2391"/>
      <c r="T585" s="2391"/>
      <c r="U585" s="2391"/>
      <c r="V585" s="2391"/>
      <c r="W585" s="2391"/>
      <c r="X585" s="2391"/>
      <c r="Y585" s="2391"/>
      <c r="Z585" s="2391"/>
      <c r="AA585" s="2391"/>
      <c r="AB585" s="2391"/>
      <c r="AC585" s="2391"/>
      <c r="AD585" s="2391"/>
      <c r="AE585" s="2391"/>
      <c r="AF585" s="2391"/>
      <c r="AG585" s="2391"/>
      <c r="AH585" s="2391"/>
      <c r="AI585" s="2391"/>
      <c r="AJ585" s="2391"/>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2" t="s">
        <v>1331</v>
      </c>
      <c r="AG591" s="2392"/>
      <c r="AH591" s="2392"/>
      <c r="AI591" s="2392"/>
      <c r="AJ591" s="2392"/>
      <c r="AK591" s="2392"/>
      <c r="AL591" s="2392"/>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2" t="s">
        <v>1387</v>
      </c>
      <c r="AG598" s="2392"/>
      <c r="AH598" s="2392"/>
      <c r="AI598" s="2392"/>
      <c r="AJ598" s="2392"/>
      <c r="AK598" s="2392"/>
      <c r="AL598" s="2392"/>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2" t="s">
        <v>1370</v>
      </c>
      <c r="AG604" s="2392"/>
      <c r="AH604" s="2392"/>
      <c r="AI604" s="2392"/>
      <c r="AJ604" s="2392"/>
      <c r="AK604" s="2392"/>
      <c r="AL604" s="2392"/>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2" t="s">
        <v>1390</v>
      </c>
      <c r="AG610" s="2392"/>
      <c r="AH610" s="2392"/>
      <c r="AI610" s="2392"/>
      <c r="AJ610" s="2392"/>
      <c r="AK610" s="2392"/>
      <c r="AL610" s="2392"/>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1839</v>
      </c>
      <c r="O614" s="2537" t="s">
        <v>1183</v>
      </c>
      <c r="P614" s="2537"/>
      <c r="Q614" s="2537"/>
      <c r="R614" s="2537"/>
      <c r="S614" s="2537"/>
      <c r="T614" s="2537"/>
      <c r="U614" s="2537"/>
      <c r="V614" s="2537"/>
      <c r="W614" s="2537"/>
      <c r="X614" s="2537"/>
      <c r="Y614" s="2537"/>
      <c r="Z614" s="2537"/>
      <c r="AA614" s="2537"/>
      <c r="AB614" s="2537"/>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2" t="s">
        <v>1345</v>
      </c>
      <c r="AG616" s="2392"/>
      <c r="AH616" s="2392"/>
      <c r="AI616" s="2392"/>
      <c r="AJ616" s="2392"/>
      <c r="AK616" s="2392"/>
      <c r="AL616" s="2392"/>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1391</v>
      </c>
      <c r="E619" s="932"/>
      <c r="F619" s="932"/>
      <c r="G619" s="932"/>
      <c r="H619" s="2393" t="s">
        <v>687</v>
      </c>
      <c r="I619" s="2393"/>
      <c r="J619" s="932"/>
      <c r="K619" s="932"/>
      <c r="L619" s="932"/>
      <c r="N619" s="22"/>
      <c r="O619" s="22"/>
      <c r="P619" s="22"/>
      <c r="Q619" s="1145" t="s">
        <v>2131</v>
      </c>
      <c r="R619" s="2538"/>
      <c r="S619" s="2538"/>
      <c r="T619" s="2538"/>
      <c r="U619" s="2538"/>
      <c r="V619" s="2538"/>
      <c r="W619" s="2538"/>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9" t="str">
        <f>IF(AND(H619="(i)",NOT(AP595)),AO612,IF(AND(H619="(iv)",OR(R619=AO608,R619=AO607),NOT(AP596)),AO613,""))</f>
        <v/>
      </c>
      <c r="Z620" s="2539"/>
      <c r="AA620" s="2539"/>
      <c r="AB620" s="2539"/>
      <c r="AC620" s="2539"/>
      <c r="AD620" s="2539"/>
      <c r="AE620" s="2539"/>
      <c r="AF620" s="2539"/>
      <c r="AG620" s="2539"/>
      <c r="AH620" s="2539"/>
      <c r="AI620" s="2539"/>
      <c r="AJ620" s="2539"/>
      <c r="AK620" s="2539"/>
      <c r="AL620" s="2539"/>
      <c r="AM620" s="2540"/>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9"/>
      <c r="Z621" s="2539"/>
      <c r="AA621" s="2539"/>
      <c r="AB621" s="2539"/>
      <c r="AC621" s="2539"/>
      <c r="AD621" s="2539"/>
      <c r="AE621" s="2539"/>
      <c r="AF621" s="2539"/>
      <c r="AG621" s="2539"/>
      <c r="AH621" s="2539"/>
      <c r="AI621" s="2539"/>
      <c r="AJ621" s="2539"/>
      <c r="AK621" s="2539"/>
      <c r="AL621" s="2539"/>
      <c r="AM621" s="2540"/>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1391</v>
      </c>
      <c r="F627" s="932"/>
      <c r="G627" s="932"/>
      <c r="I627" s="2536" t="s">
        <v>591</v>
      </c>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2536"/>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9" t="s">
        <v>591</v>
      </c>
      <c r="C629" s="2399"/>
      <c r="D629" s="640"/>
      <c r="E629" s="2391" t="s">
        <v>1394</v>
      </c>
      <c r="F629" s="2391"/>
      <c r="G629" s="2391"/>
      <c r="H629" s="2391"/>
      <c r="I629" s="2391"/>
      <c r="J629" s="2391"/>
      <c r="K629" s="2391"/>
      <c r="L629" s="2391"/>
      <c r="M629" s="2391"/>
      <c r="N629" s="2391"/>
      <c r="O629" s="2391"/>
      <c r="P629" s="2391"/>
      <c r="Q629" s="2391"/>
      <c r="R629" s="2391"/>
      <c r="S629" s="2391"/>
      <c r="T629" s="2391"/>
      <c r="U629" s="2391"/>
      <c r="V629" s="2391"/>
      <c r="W629" s="2391"/>
      <c r="X629" s="2391"/>
      <c r="Y629" s="2391"/>
      <c r="Z629" s="2391"/>
      <c r="AA629" s="2391"/>
      <c r="AB629" s="2391"/>
      <c r="AC629" s="2391"/>
      <c r="AD629" s="2391"/>
      <c r="AE629" s="2391"/>
      <c r="AF629" s="2391"/>
      <c r="AG629" s="2391"/>
      <c r="AH629" s="640"/>
      <c r="AI629" s="640"/>
      <c r="AJ629" s="640"/>
      <c r="AK629" s="640"/>
      <c r="AL629" s="640"/>
      <c r="AN629" s="595"/>
    </row>
    <row r="630" spans="1:42" s="549" customFormat="1" ht="12.75" customHeight="1">
      <c r="B630" s="536"/>
      <c r="C630" s="929"/>
      <c r="D630" s="640"/>
      <c r="E630" s="2391"/>
      <c r="F630" s="2391"/>
      <c r="G630" s="2391"/>
      <c r="H630" s="2391"/>
      <c r="I630" s="2391"/>
      <c r="J630" s="2391"/>
      <c r="K630" s="2391"/>
      <c r="L630" s="2391"/>
      <c r="M630" s="2391"/>
      <c r="N630" s="2391"/>
      <c r="O630" s="2391"/>
      <c r="P630" s="2391"/>
      <c r="Q630" s="2391"/>
      <c r="R630" s="2391"/>
      <c r="S630" s="2391"/>
      <c r="T630" s="2391"/>
      <c r="U630" s="2391"/>
      <c r="V630" s="2391"/>
      <c r="W630" s="2391"/>
      <c r="X630" s="2391"/>
      <c r="Y630" s="2391"/>
      <c r="Z630" s="2391"/>
      <c r="AA630" s="2391"/>
      <c r="AB630" s="2391"/>
      <c r="AC630" s="2391"/>
      <c r="AD630" s="2391"/>
      <c r="AE630" s="2391"/>
      <c r="AF630" s="2391"/>
      <c r="AG630" s="2391"/>
      <c r="AH630" s="640"/>
      <c r="AI630" s="640"/>
      <c r="AJ630" s="640"/>
      <c r="AK630" s="640"/>
      <c r="AL630" s="640"/>
      <c r="AN630" s="595"/>
    </row>
    <row r="631" spans="1:42" s="549" customFormat="1" ht="12.75" customHeight="1">
      <c r="B631" s="536"/>
      <c r="C631" s="929"/>
      <c r="D631" s="640"/>
      <c r="E631" s="2391"/>
      <c r="F631" s="2391"/>
      <c r="G631" s="2391"/>
      <c r="H631" s="2391"/>
      <c r="I631" s="2391"/>
      <c r="J631" s="2391"/>
      <c r="K631" s="2391"/>
      <c r="L631" s="2391"/>
      <c r="M631" s="2391"/>
      <c r="N631" s="2391"/>
      <c r="O631" s="2391"/>
      <c r="P631" s="2391"/>
      <c r="Q631" s="2391"/>
      <c r="R631" s="2391"/>
      <c r="S631" s="2391"/>
      <c r="T631" s="2391"/>
      <c r="U631" s="2391"/>
      <c r="V631" s="2391"/>
      <c r="W631" s="2391"/>
      <c r="X631" s="2391"/>
      <c r="Y631" s="2391"/>
      <c r="Z631" s="2391"/>
      <c r="AA631" s="2391"/>
      <c r="AB631" s="2391"/>
      <c r="AC631" s="2391"/>
      <c r="AD631" s="2391"/>
      <c r="AE631" s="2391"/>
      <c r="AF631" s="2391"/>
      <c r="AG631" s="2391"/>
      <c r="AH631" s="640"/>
      <c r="AI631" s="640"/>
      <c r="AJ631" s="640"/>
      <c r="AK631" s="640"/>
      <c r="AL631" s="640"/>
      <c r="AN631" s="595"/>
    </row>
    <row r="632" spans="1:42" s="549" customFormat="1" ht="12.75" customHeight="1">
      <c r="B632" s="536"/>
      <c r="C632" s="929"/>
      <c r="D632" s="640"/>
      <c r="E632" s="2391"/>
      <c r="F632" s="2391"/>
      <c r="G632" s="2391"/>
      <c r="H632" s="2391"/>
      <c r="I632" s="2391"/>
      <c r="J632" s="2391"/>
      <c r="K632" s="2391"/>
      <c r="L632" s="2391"/>
      <c r="M632" s="2391"/>
      <c r="N632" s="2391"/>
      <c r="O632" s="2391"/>
      <c r="P632" s="2391"/>
      <c r="Q632" s="2391"/>
      <c r="R632" s="2391"/>
      <c r="S632" s="2391"/>
      <c r="T632" s="2391"/>
      <c r="U632" s="2391"/>
      <c r="V632" s="2391"/>
      <c r="W632" s="2391"/>
      <c r="X632" s="2391"/>
      <c r="Y632" s="2391"/>
      <c r="Z632" s="2391"/>
      <c r="AA632" s="2391"/>
      <c r="AB632" s="2391"/>
      <c r="AC632" s="2391"/>
      <c r="AD632" s="2391"/>
      <c r="AE632" s="2391"/>
      <c r="AF632" s="2391"/>
      <c r="AG632" s="2391"/>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4">
        <f>VLOOKUP($H$619,$AO$599:$AP$604,2,FALSE)+IF(R619=AO607,0,VLOOKUP($I$627,$AO$626:$AP$628,2,FALSE))</f>
        <v>7</v>
      </c>
      <c r="AK634" s="239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5" t="s">
        <v>1682</v>
      </c>
      <c r="F638" s="2535"/>
      <c r="G638" s="2535"/>
      <c r="H638" s="2535"/>
      <c r="I638" s="2535"/>
      <c r="J638" s="2535"/>
      <c r="K638" s="2535"/>
      <c r="L638" s="2535"/>
      <c r="M638" s="2535"/>
      <c r="N638" s="2535"/>
      <c r="O638" s="2535"/>
      <c r="P638" s="2535"/>
      <c r="Q638" s="2535"/>
      <c r="R638" s="2535"/>
      <c r="S638" s="2535"/>
      <c r="T638" s="2535"/>
      <c r="U638" s="2535"/>
      <c r="V638" s="2535"/>
      <c r="W638" s="2535"/>
      <c r="X638" s="2535"/>
      <c r="Y638" s="2535"/>
      <c r="Z638" s="2535"/>
      <c r="AA638" s="2535"/>
      <c r="AB638" s="2535"/>
      <c r="AC638" s="2535"/>
      <c r="AD638" s="2535"/>
      <c r="AE638" s="539"/>
      <c r="AF638" s="2392" t="s">
        <v>1345</v>
      </c>
      <c r="AG638" s="2392"/>
      <c r="AH638" s="2392"/>
      <c r="AI638" s="2392"/>
      <c r="AJ638" s="2392"/>
      <c r="AK638" s="2392"/>
      <c r="AL638" s="2392"/>
      <c r="AM638" s="549"/>
      <c r="AN638" s="674"/>
    </row>
    <row r="639" spans="1:42" s="549" customFormat="1" ht="12.75" customHeight="1">
      <c r="A639" s="675"/>
      <c r="B639" s="536"/>
      <c r="C639" s="929"/>
      <c r="D639" s="659"/>
      <c r="E639" s="2535"/>
      <c r="F639" s="2535"/>
      <c r="G639" s="2535"/>
      <c r="H639" s="2535"/>
      <c r="I639" s="2535"/>
      <c r="J639" s="2535"/>
      <c r="K639" s="2535"/>
      <c r="L639" s="2535"/>
      <c r="M639" s="2535"/>
      <c r="N639" s="2535"/>
      <c r="O639" s="2535"/>
      <c r="P639" s="2535"/>
      <c r="Q639" s="2535"/>
      <c r="R639" s="2535"/>
      <c r="S639" s="2535"/>
      <c r="T639" s="2535"/>
      <c r="U639" s="2535"/>
      <c r="V639" s="2535"/>
      <c r="W639" s="2535"/>
      <c r="X639" s="2535"/>
      <c r="Y639" s="2535"/>
      <c r="Z639" s="2535"/>
      <c r="AA639" s="2535"/>
      <c r="AB639" s="2535"/>
      <c r="AC639" s="2535"/>
      <c r="AD639" s="2535"/>
      <c r="AE639" s="536"/>
      <c r="AF639" s="536"/>
      <c r="AG639" s="536"/>
      <c r="AH639" s="536"/>
      <c r="AI639" s="536"/>
      <c r="AJ639" s="536"/>
      <c r="AK639" s="536"/>
      <c r="AL639" s="536"/>
      <c r="AN639" s="595"/>
    </row>
    <row r="640" spans="1:42" s="549" customFormat="1" ht="12.75" customHeight="1">
      <c r="B640" s="536"/>
      <c r="C640" s="927"/>
      <c r="D640" s="659"/>
      <c r="E640" s="2535"/>
      <c r="F640" s="2535"/>
      <c r="G640" s="2535"/>
      <c r="H640" s="2535"/>
      <c r="I640" s="2535"/>
      <c r="J640" s="2535"/>
      <c r="K640" s="2535"/>
      <c r="L640" s="2535"/>
      <c r="M640" s="2535"/>
      <c r="N640" s="2535"/>
      <c r="O640" s="2535"/>
      <c r="P640" s="2535"/>
      <c r="Q640" s="2535"/>
      <c r="R640" s="2535"/>
      <c r="S640" s="2535"/>
      <c r="T640" s="2535"/>
      <c r="U640" s="2535"/>
      <c r="V640" s="2535"/>
      <c r="W640" s="2535"/>
      <c r="X640" s="2535"/>
      <c r="Y640" s="2535"/>
      <c r="Z640" s="2535"/>
      <c r="AA640" s="2535"/>
      <c r="AB640" s="2535"/>
      <c r="AC640" s="2535"/>
      <c r="AD640" s="2535"/>
      <c r="AE640" s="536"/>
      <c r="AF640" s="536"/>
      <c r="AG640" s="536"/>
      <c r="AH640" s="536"/>
      <c r="AI640" s="536"/>
      <c r="AJ640" s="536"/>
      <c r="AK640" s="536"/>
      <c r="AL640" s="536"/>
      <c r="AN640" s="595"/>
    </row>
    <row r="641" spans="1:42" s="549" customFormat="1" ht="12.75" customHeight="1">
      <c r="B641" s="536"/>
      <c r="C641" s="927"/>
      <c r="D641" s="659"/>
      <c r="E641" s="2535"/>
      <c r="F641" s="2535"/>
      <c r="G641" s="2535"/>
      <c r="H641" s="2535"/>
      <c r="I641" s="2535"/>
      <c r="J641" s="2535"/>
      <c r="K641" s="2535"/>
      <c r="L641" s="2535"/>
      <c r="M641" s="2535"/>
      <c r="N641" s="2535"/>
      <c r="O641" s="2535"/>
      <c r="P641" s="2535"/>
      <c r="Q641" s="2535"/>
      <c r="R641" s="2535"/>
      <c r="S641" s="2535"/>
      <c r="T641" s="2535"/>
      <c r="U641" s="2535"/>
      <c r="V641" s="2535"/>
      <c r="W641" s="2535"/>
      <c r="X641" s="2535"/>
      <c r="Y641" s="2535"/>
      <c r="Z641" s="2535"/>
      <c r="AA641" s="2535"/>
      <c r="AB641" s="2535"/>
      <c r="AC641" s="2535"/>
      <c r="AD641" s="2535"/>
      <c r="AE641" s="536"/>
      <c r="AF641" s="536"/>
      <c r="AG641" s="536"/>
      <c r="AH641" s="536"/>
      <c r="AI641" s="536"/>
      <c r="AJ641" s="536"/>
      <c r="AK641" s="536"/>
      <c r="AL641" s="536"/>
      <c r="AN641" s="595"/>
    </row>
    <row r="642" spans="1:42" s="549" customFormat="1" ht="12.75" customHeight="1">
      <c r="B642" s="536"/>
      <c r="C642" s="927"/>
      <c r="D642" s="659"/>
      <c r="E642" s="2535"/>
      <c r="F642" s="2535"/>
      <c r="G642" s="2535"/>
      <c r="H642" s="2535"/>
      <c r="I642" s="2535"/>
      <c r="J642" s="2535"/>
      <c r="K642" s="2535"/>
      <c r="L642" s="2535"/>
      <c r="M642" s="2535"/>
      <c r="N642" s="2535"/>
      <c r="O642" s="2535"/>
      <c r="P642" s="2535"/>
      <c r="Q642" s="2535"/>
      <c r="R642" s="2535"/>
      <c r="S642" s="2535"/>
      <c r="T642" s="2535"/>
      <c r="U642" s="2535"/>
      <c r="V642" s="2535"/>
      <c r="W642" s="2535"/>
      <c r="X642" s="2535"/>
      <c r="Y642" s="2535"/>
      <c r="Z642" s="2535"/>
      <c r="AA642" s="2535"/>
      <c r="AB642" s="2535"/>
      <c r="AC642" s="2535"/>
      <c r="AD642" s="2535"/>
      <c r="AE642" s="536"/>
      <c r="AF642" s="536"/>
      <c r="AG642" s="536"/>
      <c r="AH642" s="536"/>
      <c r="AI642" s="536"/>
      <c r="AJ642" s="536"/>
      <c r="AK642" s="536"/>
      <c r="AL642" s="536"/>
      <c r="AN642" s="595"/>
    </row>
    <row r="643" spans="1:42" s="549" customFormat="1" ht="12.75" customHeight="1">
      <c r="B643" s="536"/>
      <c r="C643" s="927"/>
      <c r="D643" s="659"/>
      <c r="E643" s="2535"/>
      <c r="F643" s="2535"/>
      <c r="G643" s="2535"/>
      <c r="H643" s="2535"/>
      <c r="I643" s="2535"/>
      <c r="J643" s="2535"/>
      <c r="K643" s="2535"/>
      <c r="L643" s="2535"/>
      <c r="M643" s="2535"/>
      <c r="N643" s="2535"/>
      <c r="O643" s="2535"/>
      <c r="P643" s="2535"/>
      <c r="Q643" s="2535"/>
      <c r="R643" s="2535"/>
      <c r="S643" s="2535"/>
      <c r="T643" s="2535"/>
      <c r="U643" s="2535"/>
      <c r="V643" s="2535"/>
      <c r="W643" s="2535"/>
      <c r="X643" s="2535"/>
      <c r="Y643" s="2535"/>
      <c r="Z643" s="2535"/>
      <c r="AA643" s="2535"/>
      <c r="AB643" s="2535"/>
      <c r="AC643" s="2535"/>
      <c r="AD643" s="2535"/>
      <c r="AE643" s="536"/>
      <c r="AF643" s="536"/>
      <c r="AG643" s="536"/>
      <c r="AH643" s="536"/>
      <c r="AI643" s="536"/>
      <c r="AJ643" s="536"/>
      <c r="AK643" s="536"/>
      <c r="AL643" s="536"/>
      <c r="AN643" s="595"/>
    </row>
    <row r="644" spans="1:42" s="549" customFormat="1" ht="12.75" customHeight="1">
      <c r="A644" s="635"/>
      <c r="B644" s="614"/>
      <c r="C644" s="936"/>
      <c r="D644" s="659"/>
      <c r="E644" s="2535"/>
      <c r="F644" s="2535"/>
      <c r="G644" s="2535"/>
      <c r="H644" s="2535"/>
      <c r="I644" s="2535"/>
      <c r="J644" s="2535"/>
      <c r="K644" s="2535"/>
      <c r="L644" s="2535"/>
      <c r="M644" s="2535"/>
      <c r="N644" s="2535"/>
      <c r="O644" s="2535"/>
      <c r="P644" s="2535"/>
      <c r="Q644" s="2535"/>
      <c r="R644" s="2535"/>
      <c r="S644" s="2535"/>
      <c r="T644" s="2535"/>
      <c r="U644" s="2535"/>
      <c r="V644" s="2535"/>
      <c r="W644" s="2535"/>
      <c r="X644" s="2535"/>
      <c r="Y644" s="2535"/>
      <c r="Z644" s="2535"/>
      <c r="AA644" s="2535"/>
      <c r="AB644" s="2535"/>
      <c r="AC644" s="2535"/>
      <c r="AD644" s="2535"/>
      <c r="AE644" s="614"/>
      <c r="AF644" s="614"/>
      <c r="AG644" s="614"/>
      <c r="AH644" s="614"/>
      <c r="AI644" s="614"/>
      <c r="AJ644" s="614"/>
      <c r="AK644" s="536"/>
      <c r="AL644" s="536"/>
      <c r="AN644" s="595"/>
    </row>
    <row r="645" spans="1:42" s="549" customFormat="1" ht="12.75" customHeight="1">
      <c r="B645" s="614"/>
      <c r="C645" s="936"/>
      <c r="D645" s="659"/>
      <c r="E645" s="2535"/>
      <c r="F645" s="2535"/>
      <c r="G645" s="2535"/>
      <c r="H645" s="2535"/>
      <c r="I645" s="2535"/>
      <c r="J645" s="2535"/>
      <c r="K645" s="2535"/>
      <c r="L645" s="2535"/>
      <c r="M645" s="2535"/>
      <c r="N645" s="2535"/>
      <c r="O645" s="2535"/>
      <c r="P645" s="2535"/>
      <c r="Q645" s="2535"/>
      <c r="R645" s="2535"/>
      <c r="S645" s="2535"/>
      <c r="T645" s="2535"/>
      <c r="U645" s="2535"/>
      <c r="V645" s="2535"/>
      <c r="W645" s="2535"/>
      <c r="X645" s="2535"/>
      <c r="Y645" s="2535"/>
      <c r="Z645" s="2535"/>
      <c r="AA645" s="2535"/>
      <c r="AB645" s="2535"/>
      <c r="AC645" s="2535"/>
      <c r="AD645" s="2535"/>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9" t="s">
        <v>591</v>
      </c>
      <c r="Y647" s="2399"/>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2" t="s">
        <v>1399</v>
      </c>
      <c r="AG649" s="2392"/>
      <c r="AH649" s="2392"/>
      <c r="AI649" s="2392"/>
      <c r="AJ649" s="2392"/>
      <c r="AK649" s="2392"/>
      <c r="AL649" s="2392"/>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3" t="s">
        <v>687</v>
      </c>
      <c r="I651" s="2393"/>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4">
        <f>VLOOKUP($H$651,$AO$618:$AP$620,2,FALSE)</f>
        <v>3</v>
      </c>
      <c r="AK653" s="2395"/>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91" t="s">
        <v>2053</v>
      </c>
      <c r="F657" s="2391"/>
      <c r="G657" s="2391"/>
      <c r="H657" s="2391"/>
      <c r="I657" s="2391"/>
      <c r="J657" s="2391"/>
      <c r="K657" s="2391"/>
      <c r="L657" s="2391"/>
      <c r="M657" s="2391"/>
      <c r="N657" s="2391"/>
      <c r="O657" s="2391"/>
      <c r="P657" s="2391"/>
      <c r="Q657" s="2391"/>
      <c r="R657" s="2391"/>
      <c r="S657" s="2391"/>
      <c r="T657" s="2391"/>
      <c r="U657" s="2391"/>
      <c r="V657" s="2391"/>
      <c r="W657" s="2391"/>
      <c r="X657" s="2391"/>
      <c r="Y657" s="2391"/>
      <c r="Z657" s="2391"/>
      <c r="AA657" s="2391"/>
      <c r="AB657" s="2391"/>
      <c r="AC657" s="2391"/>
      <c r="AD657" s="2391"/>
      <c r="AE657" s="536"/>
      <c r="AF657" s="2392" t="s">
        <v>1345</v>
      </c>
      <c r="AG657" s="2392"/>
      <c r="AH657" s="2392"/>
      <c r="AI657" s="2392"/>
      <c r="AJ657" s="2392"/>
      <c r="AK657" s="2392"/>
      <c r="AL657" s="2392"/>
      <c r="AN657" s="595"/>
    </row>
    <row r="658" spans="1:42" s="549" customFormat="1" ht="12.75" customHeight="1">
      <c r="B658" s="536"/>
      <c r="C658" s="536"/>
      <c r="D658" s="659"/>
      <c r="E658" s="2391"/>
      <c r="F658" s="2391"/>
      <c r="G658" s="2391"/>
      <c r="H658" s="2391"/>
      <c r="I658" s="2391"/>
      <c r="J658" s="2391"/>
      <c r="K658" s="2391"/>
      <c r="L658" s="2391"/>
      <c r="M658" s="2391"/>
      <c r="N658" s="2391"/>
      <c r="O658" s="2391"/>
      <c r="P658" s="2391"/>
      <c r="Q658" s="2391"/>
      <c r="R658" s="2391"/>
      <c r="S658" s="2391"/>
      <c r="T658" s="2391"/>
      <c r="U658" s="2391"/>
      <c r="V658" s="2391"/>
      <c r="W658" s="2391"/>
      <c r="X658" s="2391"/>
      <c r="Y658" s="2391"/>
      <c r="Z658" s="2391"/>
      <c r="AA658" s="2391"/>
      <c r="AB658" s="2391"/>
      <c r="AC658" s="2391"/>
      <c r="AD658" s="2391"/>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2" t="s">
        <v>1399</v>
      </c>
      <c r="AG660" s="2392"/>
      <c r="AH660" s="2392"/>
      <c r="AI660" s="2392"/>
      <c r="AJ660" s="2392"/>
      <c r="AK660" s="2392"/>
      <c r="AL660" s="2392"/>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3" t="s">
        <v>687</v>
      </c>
      <c r="I663" s="2393"/>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4">
        <f>VLOOKUP(H663,AT618:AU620,2,FALSE)</f>
        <v>3</v>
      </c>
      <c r="AK665" s="239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91" t="s">
        <v>1409</v>
      </c>
      <c r="F670" s="2391"/>
      <c r="G670" s="2391"/>
      <c r="H670" s="2391"/>
      <c r="I670" s="2391"/>
      <c r="J670" s="2391"/>
      <c r="K670" s="2391"/>
      <c r="L670" s="2391"/>
      <c r="M670" s="2391"/>
      <c r="N670" s="2391"/>
      <c r="O670" s="2391"/>
      <c r="P670" s="2391"/>
      <c r="Q670" s="2391"/>
      <c r="R670" s="2391"/>
      <c r="S670" s="2391"/>
      <c r="T670" s="2391"/>
      <c r="U670" s="2391"/>
      <c r="V670" s="2391"/>
      <c r="W670" s="2391"/>
      <c r="X670" s="2391"/>
      <c r="Y670" s="2391"/>
      <c r="Z670" s="2391"/>
      <c r="AA670" s="2391"/>
      <c r="AB670" s="2391"/>
      <c r="AC670" s="2391"/>
      <c r="AD670" s="536"/>
      <c r="AE670" s="536"/>
      <c r="AF670" s="2392" t="s">
        <v>1370</v>
      </c>
      <c r="AG670" s="2392"/>
      <c r="AH670" s="2392"/>
      <c r="AI670" s="2392"/>
      <c r="AJ670" s="2392"/>
      <c r="AK670" s="2392"/>
      <c r="AL670" s="2392"/>
      <c r="AN670" s="595"/>
    </row>
    <row r="671" spans="1:42" s="549" customFormat="1" ht="12.75" customHeight="1">
      <c r="B671" s="536"/>
      <c r="C671" s="539"/>
      <c r="D671" s="536"/>
      <c r="E671" s="2391"/>
      <c r="F671" s="2391"/>
      <c r="G671" s="2391"/>
      <c r="H671" s="2391"/>
      <c r="I671" s="2391"/>
      <c r="J671" s="2391"/>
      <c r="K671" s="2391"/>
      <c r="L671" s="2391"/>
      <c r="M671" s="2391"/>
      <c r="N671" s="2391"/>
      <c r="O671" s="2391"/>
      <c r="P671" s="2391"/>
      <c r="Q671" s="2391"/>
      <c r="R671" s="2391"/>
      <c r="S671" s="2391"/>
      <c r="T671" s="2391"/>
      <c r="U671" s="2391"/>
      <c r="V671" s="2391"/>
      <c r="W671" s="2391"/>
      <c r="X671" s="2391"/>
      <c r="Y671" s="2391"/>
      <c r="Z671" s="2391"/>
      <c r="AA671" s="2391"/>
      <c r="AB671" s="2391"/>
      <c r="AC671" s="2391"/>
      <c r="AD671" s="536"/>
      <c r="AE671" s="536"/>
      <c r="AF671" s="536"/>
      <c r="AG671" s="536"/>
      <c r="AH671" s="536"/>
      <c r="AI671" s="536"/>
      <c r="AJ671" s="536"/>
      <c r="AK671" s="536"/>
      <c r="AL671" s="536"/>
      <c r="AN671" s="595"/>
    </row>
    <row r="672" spans="1:42" s="549" customFormat="1" ht="12.75" customHeight="1">
      <c r="B672" s="536"/>
      <c r="C672" s="539"/>
      <c r="D672" s="659"/>
      <c r="E672" s="2391"/>
      <c r="F672" s="2391"/>
      <c r="G672" s="2391"/>
      <c r="H672" s="2391"/>
      <c r="I672" s="2391"/>
      <c r="J672" s="2391"/>
      <c r="K672" s="2391"/>
      <c r="L672" s="2391"/>
      <c r="M672" s="2391"/>
      <c r="N672" s="2391"/>
      <c r="O672" s="2391"/>
      <c r="P672" s="2391"/>
      <c r="Q672" s="2391"/>
      <c r="R672" s="2391"/>
      <c r="S672" s="2391"/>
      <c r="T672" s="2391"/>
      <c r="U672" s="2391"/>
      <c r="V672" s="2391"/>
      <c r="W672" s="2391"/>
      <c r="X672" s="2391"/>
      <c r="Y672" s="2391"/>
      <c r="Z672" s="2391"/>
      <c r="AA672" s="2391"/>
      <c r="AB672" s="2391"/>
      <c r="AC672" s="2391"/>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91" t="s">
        <v>1410</v>
      </c>
      <c r="F674" s="2391"/>
      <c r="G674" s="2391"/>
      <c r="H674" s="2391"/>
      <c r="I674" s="2391"/>
      <c r="J674" s="2391"/>
      <c r="K674" s="2391"/>
      <c r="L674" s="2391"/>
      <c r="M674" s="2391"/>
      <c r="N674" s="2391"/>
      <c r="O674" s="2391"/>
      <c r="P674" s="2391"/>
      <c r="Q674" s="2391"/>
      <c r="R674" s="2391"/>
      <c r="S674" s="2391"/>
      <c r="T674" s="2391"/>
      <c r="U674" s="2391"/>
      <c r="V674" s="2391"/>
      <c r="W674" s="2391"/>
      <c r="X674" s="2391"/>
      <c r="Y674" s="2391"/>
      <c r="Z674" s="2391"/>
      <c r="AA674" s="2391"/>
      <c r="AB674" s="2391"/>
      <c r="AC674" s="2391"/>
      <c r="AD674" s="536"/>
      <c r="AE674" s="536"/>
      <c r="AF674" s="2392" t="s">
        <v>1390</v>
      </c>
      <c r="AG674" s="2392"/>
      <c r="AH674" s="2392"/>
      <c r="AI674" s="2392"/>
      <c r="AJ674" s="2392"/>
      <c r="AK674" s="2392"/>
      <c r="AL674" s="2392"/>
      <c r="AN674" s="595"/>
    </row>
    <row r="675" spans="1:42" s="549" customFormat="1" ht="12.75" customHeight="1">
      <c r="B675" s="536"/>
      <c r="C675" s="539"/>
      <c r="D675" s="536"/>
      <c r="E675" s="2391"/>
      <c r="F675" s="2391"/>
      <c r="G675" s="2391"/>
      <c r="H675" s="2391"/>
      <c r="I675" s="2391"/>
      <c r="J675" s="2391"/>
      <c r="K675" s="2391"/>
      <c r="L675" s="2391"/>
      <c r="M675" s="2391"/>
      <c r="N675" s="2391"/>
      <c r="O675" s="2391"/>
      <c r="P675" s="2391"/>
      <c r="Q675" s="2391"/>
      <c r="R675" s="2391"/>
      <c r="S675" s="2391"/>
      <c r="T675" s="2391"/>
      <c r="U675" s="2391"/>
      <c r="V675" s="2391"/>
      <c r="W675" s="2391"/>
      <c r="X675" s="2391"/>
      <c r="Y675" s="2391"/>
      <c r="Z675" s="2391"/>
      <c r="AA675" s="2391"/>
      <c r="AB675" s="2391"/>
      <c r="AC675" s="2391"/>
      <c r="AD675" s="536"/>
      <c r="AE675" s="536"/>
      <c r="AF675" s="536"/>
      <c r="AG675" s="536"/>
      <c r="AH675" s="536"/>
      <c r="AI675" s="536"/>
      <c r="AJ675" s="536"/>
      <c r="AK675" s="536"/>
      <c r="AL675" s="536"/>
      <c r="AN675" s="595"/>
    </row>
    <row r="676" spans="1:42" s="549" customFormat="1" ht="15" customHeight="1">
      <c r="B676" s="536"/>
      <c r="C676" s="539"/>
      <c r="D676" s="659"/>
      <c r="E676" s="2391"/>
      <c r="F676" s="2391"/>
      <c r="G676" s="2391"/>
      <c r="H676" s="2391"/>
      <c r="I676" s="2391"/>
      <c r="J676" s="2391"/>
      <c r="K676" s="2391"/>
      <c r="L676" s="2391"/>
      <c r="M676" s="2391"/>
      <c r="N676" s="2391"/>
      <c r="O676" s="2391"/>
      <c r="P676" s="2391"/>
      <c r="Q676" s="2391"/>
      <c r="R676" s="2391"/>
      <c r="S676" s="2391"/>
      <c r="T676" s="2391"/>
      <c r="U676" s="2391"/>
      <c r="V676" s="2391"/>
      <c r="W676" s="2391"/>
      <c r="X676" s="2391"/>
      <c r="Y676" s="2391"/>
      <c r="Z676" s="2391"/>
      <c r="AA676" s="2391"/>
      <c r="AB676" s="2391"/>
      <c r="AC676" s="2391"/>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91" t="s">
        <v>1411</v>
      </c>
      <c r="F678" s="2391"/>
      <c r="G678" s="2391"/>
      <c r="H678" s="2391"/>
      <c r="I678" s="2391"/>
      <c r="J678" s="2391"/>
      <c r="K678" s="2391"/>
      <c r="L678" s="2391"/>
      <c r="M678" s="2391"/>
      <c r="N678" s="2391"/>
      <c r="O678" s="2391"/>
      <c r="P678" s="2391"/>
      <c r="Q678" s="2391"/>
      <c r="R678" s="2391"/>
      <c r="S678" s="2391"/>
      <c r="T678" s="2391"/>
      <c r="U678" s="2391"/>
      <c r="V678" s="2391"/>
      <c r="W678" s="2391"/>
      <c r="X678" s="2391"/>
      <c r="Y678" s="2391"/>
      <c r="Z678" s="2391"/>
      <c r="AA678" s="2391"/>
      <c r="AB678" s="2391"/>
      <c r="AC678" s="2391"/>
      <c r="AD678" s="536"/>
      <c r="AE678" s="536"/>
      <c r="AF678" s="2392" t="s">
        <v>1345</v>
      </c>
      <c r="AG678" s="2392"/>
      <c r="AH678" s="2392"/>
      <c r="AI678" s="2392"/>
      <c r="AJ678" s="2392"/>
      <c r="AK678" s="2392"/>
      <c r="AL678" s="2392"/>
      <c r="AN678" s="595"/>
    </row>
    <row r="679" spans="1:42" s="549" customFormat="1" ht="12.75" customHeight="1">
      <c r="B679" s="536"/>
      <c r="C679" s="927"/>
      <c r="D679" s="536"/>
      <c r="E679" s="2391"/>
      <c r="F679" s="2391"/>
      <c r="G679" s="2391"/>
      <c r="H679" s="2391"/>
      <c r="I679" s="2391"/>
      <c r="J679" s="2391"/>
      <c r="K679" s="2391"/>
      <c r="L679" s="2391"/>
      <c r="M679" s="2391"/>
      <c r="N679" s="2391"/>
      <c r="O679" s="2391"/>
      <c r="P679" s="2391"/>
      <c r="Q679" s="2391"/>
      <c r="R679" s="2391"/>
      <c r="S679" s="2391"/>
      <c r="T679" s="2391"/>
      <c r="U679" s="2391"/>
      <c r="V679" s="2391"/>
      <c r="W679" s="2391"/>
      <c r="X679" s="2391"/>
      <c r="Y679" s="2391"/>
      <c r="Z679" s="2391"/>
      <c r="AA679" s="2391"/>
      <c r="AB679" s="2391"/>
      <c r="AC679" s="2391"/>
      <c r="AD679" s="536"/>
      <c r="AE679" s="2392"/>
      <c r="AF679" s="2392"/>
      <c r="AG679" s="2392"/>
      <c r="AH679" s="2392"/>
      <c r="AI679" s="2392"/>
      <c r="AJ679" s="2392"/>
      <c r="AK679" s="2392"/>
      <c r="AL679" s="592"/>
      <c r="AN679" s="595"/>
      <c r="AO679" s="549" t="s">
        <v>591</v>
      </c>
      <c r="AP679" s="669">
        <v>0</v>
      </c>
    </row>
    <row r="680" spans="1:42" s="549" customFormat="1" ht="12.75" customHeight="1">
      <c r="A680" s="675"/>
      <c r="B680" s="536"/>
      <c r="C680" s="536"/>
      <c r="D680" s="659"/>
      <c r="E680" s="2391"/>
      <c r="F680" s="2391"/>
      <c r="G680" s="2391"/>
      <c r="H680" s="2391"/>
      <c r="I680" s="2391"/>
      <c r="J680" s="2391"/>
      <c r="K680" s="2391"/>
      <c r="L680" s="2391"/>
      <c r="M680" s="2391"/>
      <c r="N680" s="2391"/>
      <c r="O680" s="2391"/>
      <c r="P680" s="2391"/>
      <c r="Q680" s="2391"/>
      <c r="R680" s="2391"/>
      <c r="S680" s="2391"/>
      <c r="T680" s="2391"/>
      <c r="U680" s="2391"/>
      <c r="V680" s="2391"/>
      <c r="W680" s="2391"/>
      <c r="X680" s="2391"/>
      <c r="Y680" s="2391"/>
      <c r="Z680" s="2391"/>
      <c r="AA680" s="2391"/>
      <c r="AB680" s="2391"/>
      <c r="AC680" s="2391"/>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1388</v>
      </c>
      <c r="E682" s="2391" t="s">
        <v>1412</v>
      </c>
      <c r="F682" s="2391"/>
      <c r="G682" s="2391"/>
      <c r="H682" s="2391"/>
      <c r="I682" s="2391"/>
      <c r="J682" s="2391"/>
      <c r="K682" s="2391"/>
      <c r="L682" s="2391"/>
      <c r="M682" s="2391"/>
      <c r="N682" s="2391"/>
      <c r="O682" s="2391"/>
      <c r="P682" s="2391"/>
      <c r="Q682" s="2391"/>
      <c r="R682" s="2391"/>
      <c r="S682" s="2391"/>
      <c r="T682" s="2391"/>
      <c r="U682" s="2391"/>
      <c r="V682" s="2391"/>
      <c r="W682" s="2391"/>
      <c r="X682" s="2391"/>
      <c r="Y682" s="2391"/>
      <c r="Z682" s="2391"/>
      <c r="AA682" s="2391"/>
      <c r="AB682" s="2391"/>
      <c r="AC682" s="2391"/>
      <c r="AD682" s="536"/>
      <c r="AE682" s="536"/>
      <c r="AF682" s="2392" t="s">
        <v>1390</v>
      </c>
      <c r="AG682" s="2392"/>
      <c r="AH682" s="2392"/>
      <c r="AI682" s="2392"/>
      <c r="AJ682" s="2392"/>
      <c r="AK682" s="2392"/>
      <c r="AL682" s="2392"/>
      <c r="AN682" s="595"/>
    </row>
    <row r="683" spans="1:42" s="549" customFormat="1" ht="12.75" customHeight="1">
      <c r="A683" s="666"/>
      <c r="B683" s="536"/>
      <c r="C683" s="943"/>
      <c r="D683" s="659"/>
      <c r="E683" s="2391"/>
      <c r="F683" s="2391"/>
      <c r="G683" s="2391"/>
      <c r="H683" s="2391"/>
      <c r="I683" s="2391"/>
      <c r="J683" s="2391"/>
      <c r="K683" s="2391"/>
      <c r="L683" s="2391"/>
      <c r="M683" s="2391"/>
      <c r="N683" s="2391"/>
      <c r="O683" s="2391"/>
      <c r="P683" s="2391"/>
      <c r="Q683" s="2391"/>
      <c r="R683" s="2391"/>
      <c r="S683" s="2391"/>
      <c r="T683" s="2391"/>
      <c r="U683" s="2391"/>
      <c r="V683" s="2391"/>
      <c r="W683" s="2391"/>
      <c r="X683" s="2391"/>
      <c r="Y683" s="2391"/>
      <c r="Z683" s="2391"/>
      <c r="AA683" s="2391"/>
      <c r="AB683" s="2391"/>
      <c r="AC683" s="2391"/>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1"/>
      <c r="F684" s="2391"/>
      <c r="G684" s="2391"/>
      <c r="H684" s="2391"/>
      <c r="I684" s="2391"/>
      <c r="J684" s="2391"/>
      <c r="K684" s="2391"/>
      <c r="L684" s="2391"/>
      <c r="M684" s="2391"/>
      <c r="N684" s="2391"/>
      <c r="O684" s="2391"/>
      <c r="P684" s="2391"/>
      <c r="Q684" s="2391"/>
      <c r="R684" s="2391"/>
      <c r="S684" s="2391"/>
      <c r="T684" s="2391"/>
      <c r="U684" s="2391"/>
      <c r="V684" s="2391"/>
      <c r="W684" s="2391"/>
      <c r="X684" s="2391"/>
      <c r="Y684" s="2391"/>
      <c r="Z684" s="2391"/>
      <c r="AA684" s="2391"/>
      <c r="AB684" s="2391"/>
      <c r="AC684" s="2391"/>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91" t="s">
        <v>1413</v>
      </c>
      <c r="F686" s="2391"/>
      <c r="G686" s="2391"/>
      <c r="H686" s="2391"/>
      <c r="I686" s="2391"/>
      <c r="J686" s="2391"/>
      <c r="K686" s="2391"/>
      <c r="L686" s="2391"/>
      <c r="M686" s="2391"/>
      <c r="N686" s="2391"/>
      <c r="O686" s="2391"/>
      <c r="P686" s="2391"/>
      <c r="Q686" s="2391"/>
      <c r="R686" s="2391"/>
      <c r="S686" s="2391"/>
      <c r="T686" s="2391"/>
      <c r="U686" s="2391"/>
      <c r="V686" s="2391"/>
      <c r="W686" s="2391"/>
      <c r="X686" s="2391"/>
      <c r="Y686" s="2391"/>
      <c r="Z686" s="2391"/>
      <c r="AA686" s="2391"/>
      <c r="AB686" s="2391"/>
      <c r="AC686" s="2391"/>
      <c r="AD686" s="536"/>
      <c r="AE686" s="536"/>
      <c r="AF686" s="2392" t="s">
        <v>1345</v>
      </c>
      <c r="AG686" s="2392"/>
      <c r="AH686" s="2392"/>
      <c r="AI686" s="2392"/>
      <c r="AJ686" s="2392"/>
      <c r="AK686" s="2392"/>
      <c r="AL686" s="2392"/>
      <c r="AM686" s="594"/>
      <c r="AN686" s="595"/>
    </row>
    <row r="687" spans="1:42" s="549" customFormat="1" ht="12.75" customHeight="1">
      <c r="B687" s="536"/>
      <c r="C687" s="927"/>
      <c r="D687" s="659"/>
      <c r="E687" s="2391"/>
      <c r="F687" s="2391"/>
      <c r="G687" s="2391"/>
      <c r="H687" s="2391"/>
      <c r="I687" s="2391"/>
      <c r="J687" s="2391"/>
      <c r="K687" s="2391"/>
      <c r="L687" s="2391"/>
      <c r="M687" s="2391"/>
      <c r="N687" s="2391"/>
      <c r="O687" s="2391"/>
      <c r="P687" s="2391"/>
      <c r="Q687" s="2391"/>
      <c r="R687" s="2391"/>
      <c r="S687" s="2391"/>
      <c r="T687" s="2391"/>
      <c r="U687" s="2391"/>
      <c r="V687" s="2391"/>
      <c r="W687" s="2391"/>
      <c r="X687" s="2391"/>
      <c r="Y687" s="2391"/>
      <c r="Z687" s="2391"/>
      <c r="AA687" s="2391"/>
      <c r="AB687" s="2391"/>
      <c r="AC687" s="2391"/>
      <c r="AD687" s="536"/>
      <c r="AE687" s="536"/>
      <c r="AF687" s="536"/>
      <c r="AG687" s="536"/>
      <c r="AH687" s="536"/>
      <c r="AI687" s="536"/>
      <c r="AJ687" s="536"/>
      <c r="AK687" s="536"/>
      <c r="AL687" s="536"/>
      <c r="AM687" s="594"/>
      <c r="AN687" s="595"/>
    </row>
    <row r="688" spans="1:42" s="549" customFormat="1" ht="12.75" customHeight="1">
      <c r="B688" s="536"/>
      <c r="C688" s="927"/>
      <c r="D688" s="659"/>
      <c r="E688" s="2391"/>
      <c r="F688" s="2391"/>
      <c r="G688" s="2391"/>
      <c r="H688" s="2391"/>
      <c r="I688" s="2391"/>
      <c r="J688" s="2391"/>
      <c r="K688" s="2391"/>
      <c r="L688" s="2391"/>
      <c r="M688" s="2391"/>
      <c r="N688" s="2391"/>
      <c r="O688" s="2391"/>
      <c r="P688" s="2391"/>
      <c r="Q688" s="2391"/>
      <c r="R688" s="2391"/>
      <c r="S688" s="2391"/>
      <c r="T688" s="2391"/>
      <c r="U688" s="2391"/>
      <c r="V688" s="2391"/>
      <c r="W688" s="2391"/>
      <c r="X688" s="2391"/>
      <c r="Y688" s="2391"/>
      <c r="Z688" s="2391"/>
      <c r="AA688" s="2391"/>
      <c r="AB688" s="2391"/>
      <c r="AC688" s="2391"/>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91" t="s">
        <v>1414</v>
      </c>
      <c r="F690" s="2391"/>
      <c r="G690" s="2391"/>
      <c r="H690" s="2391"/>
      <c r="I690" s="2391"/>
      <c r="J690" s="2391"/>
      <c r="K690" s="2391"/>
      <c r="L690" s="2391"/>
      <c r="M690" s="2391"/>
      <c r="N690" s="2391"/>
      <c r="O690" s="2391"/>
      <c r="P690" s="2391"/>
      <c r="Q690" s="2391"/>
      <c r="R690" s="2391"/>
      <c r="S690" s="2391"/>
      <c r="T690" s="2391"/>
      <c r="U690" s="2391"/>
      <c r="V690" s="2391"/>
      <c r="W690" s="2391"/>
      <c r="X690" s="2391"/>
      <c r="Y690" s="2391"/>
      <c r="Z690" s="2391"/>
      <c r="AA690" s="2391"/>
      <c r="AB690" s="2391"/>
      <c r="AC690" s="2391"/>
      <c r="AD690" s="536"/>
      <c r="AE690" s="536"/>
      <c r="AF690" s="2392" t="s">
        <v>1399</v>
      </c>
      <c r="AG690" s="2392"/>
      <c r="AH690" s="2392"/>
      <c r="AI690" s="2392"/>
      <c r="AJ690" s="2392"/>
      <c r="AK690" s="2392"/>
      <c r="AL690" s="2392"/>
      <c r="AM690" s="594"/>
      <c r="AN690" s="595"/>
    </row>
    <row r="691" spans="1:50" s="549" customFormat="1" ht="12.75" customHeight="1">
      <c r="A691" s="675"/>
      <c r="B691" s="536"/>
      <c r="C691" s="927"/>
      <c r="D691" s="659"/>
      <c r="E691" s="2391"/>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2391"/>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2391"/>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1402</v>
      </c>
      <c r="E694" s="2391" t="s">
        <v>1415</v>
      </c>
      <c r="F694" s="2391"/>
      <c r="G694" s="2391"/>
      <c r="H694" s="2391"/>
      <c r="I694" s="2391"/>
      <c r="J694" s="2391"/>
      <c r="K694" s="2391"/>
      <c r="L694" s="2391"/>
      <c r="M694" s="2391"/>
      <c r="N694" s="2391"/>
      <c r="O694" s="2391"/>
      <c r="P694" s="2391"/>
      <c r="Q694" s="2391"/>
      <c r="R694" s="2391"/>
      <c r="S694" s="2391"/>
      <c r="T694" s="2391"/>
      <c r="U694" s="2391"/>
      <c r="V694" s="2391"/>
      <c r="W694" s="2391"/>
      <c r="X694" s="2391"/>
      <c r="Y694" s="2391"/>
      <c r="Z694" s="2391"/>
      <c r="AA694" s="2391"/>
      <c r="AB694" s="2391"/>
      <c r="AC694" s="2391"/>
      <c r="AD694" s="536"/>
      <c r="AE694" s="536"/>
      <c r="AF694" s="2392" t="s">
        <v>1416</v>
      </c>
      <c r="AG694" s="2392"/>
      <c r="AH694" s="2392"/>
      <c r="AI694" s="2392"/>
      <c r="AJ694" s="2392"/>
      <c r="AK694" s="2392"/>
      <c r="AL694" s="2392"/>
      <c r="AM694" s="594"/>
      <c r="AN694" s="595"/>
      <c r="AO694" s="609" t="s">
        <v>687</v>
      </c>
      <c r="AP694" s="549">
        <v>3</v>
      </c>
    </row>
    <row r="695" spans="1:50" s="549" customFormat="1" ht="12.75" customHeight="1">
      <c r="A695" s="675"/>
      <c r="B695" s="536"/>
      <c r="C695" s="927"/>
      <c r="D695" s="659"/>
      <c r="E695" s="2391"/>
      <c r="F695" s="2391"/>
      <c r="G695" s="2391"/>
      <c r="H695" s="2391"/>
      <c r="I695" s="2391"/>
      <c r="J695" s="2391"/>
      <c r="K695" s="2391"/>
      <c r="L695" s="2391"/>
      <c r="M695" s="2391"/>
      <c r="N695" s="2391"/>
      <c r="O695" s="2391"/>
      <c r="P695" s="2391"/>
      <c r="Q695" s="2391"/>
      <c r="R695" s="2391"/>
      <c r="S695" s="2391"/>
      <c r="T695" s="2391"/>
      <c r="U695" s="2391"/>
      <c r="V695" s="2391"/>
      <c r="W695" s="2391"/>
      <c r="X695" s="2391"/>
      <c r="Y695" s="2391"/>
      <c r="Z695" s="2391"/>
      <c r="AA695" s="2391"/>
      <c r="AB695" s="2391"/>
      <c r="AC695" s="2391"/>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91"/>
      <c r="F696" s="2391"/>
      <c r="G696" s="2391"/>
      <c r="H696" s="2391"/>
      <c r="I696" s="2391"/>
      <c r="J696" s="2391"/>
      <c r="K696" s="2391"/>
      <c r="L696" s="2391"/>
      <c r="M696" s="2391"/>
      <c r="N696" s="2391"/>
      <c r="O696" s="2391"/>
      <c r="P696" s="2391"/>
      <c r="Q696" s="2391"/>
      <c r="R696" s="2391"/>
      <c r="S696" s="2391"/>
      <c r="T696" s="2391"/>
      <c r="U696" s="2391"/>
      <c r="V696" s="2391"/>
      <c r="W696" s="2391"/>
      <c r="X696" s="2391"/>
      <c r="Y696" s="2391"/>
      <c r="Z696" s="2391"/>
      <c r="AA696" s="2391"/>
      <c r="AB696" s="2391"/>
      <c r="AC696" s="2391"/>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3" t="s">
        <v>687</v>
      </c>
      <c r="I698" s="2393"/>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4">
        <f>VLOOKUP($H$698,$AO$646:$AP$653,2,FALSE)</f>
        <v>5</v>
      </c>
      <c r="AK700" s="239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146</v>
      </c>
    </row>
    <row r="704" spans="1:50" s="549" customFormat="1" ht="12.75" customHeight="1">
      <c r="A704" s="675"/>
      <c r="B704" s="536"/>
      <c r="C704" s="944"/>
      <c r="D704" s="659" t="s">
        <v>687</v>
      </c>
      <c r="E704" s="2397" t="s">
        <v>2144</v>
      </c>
      <c r="F704" s="2397"/>
      <c r="G704" s="2397"/>
      <c r="H704" s="2397"/>
      <c r="I704" s="2397"/>
      <c r="J704" s="2397"/>
      <c r="K704" s="2397"/>
      <c r="L704" s="2397"/>
      <c r="M704" s="2397"/>
      <c r="N704" s="2397"/>
      <c r="O704" s="2397"/>
      <c r="P704" s="2397"/>
      <c r="Q704" s="2397"/>
      <c r="R704" s="2397"/>
      <c r="S704" s="2397"/>
      <c r="T704" s="2397"/>
      <c r="U704" s="2397"/>
      <c r="V704" s="2397"/>
      <c r="W704" s="2397"/>
      <c r="X704" s="2397"/>
      <c r="Y704" s="2397"/>
      <c r="Z704" s="2397"/>
      <c r="AA704" s="2397"/>
      <c r="AB704" s="2397"/>
      <c r="AC704" s="536"/>
      <c r="AD704" s="536"/>
      <c r="AE704" s="536"/>
      <c r="AF704" s="2392" t="s">
        <v>1345</v>
      </c>
      <c r="AG704" s="2392"/>
      <c r="AH704" s="2392"/>
      <c r="AI704" s="2392"/>
      <c r="AJ704" s="2392"/>
      <c r="AK704" s="2392"/>
      <c r="AL704" s="2392"/>
      <c r="AN704" s="595"/>
      <c r="AW704" s="22" t="s">
        <v>2139</v>
      </c>
      <c r="AX704" s="549">
        <f>Application!DE761</f>
        <v>23</v>
      </c>
    </row>
    <row r="705" spans="1:51" s="549" customFormat="1" ht="12.75" customHeight="1">
      <c r="A705" s="675"/>
      <c r="B705" s="536"/>
      <c r="C705" s="944"/>
      <c r="D705" s="659"/>
      <c r="E705" s="2397"/>
      <c r="F705" s="2397"/>
      <c r="G705" s="2397"/>
      <c r="H705" s="2397"/>
      <c r="I705" s="2397"/>
      <c r="J705" s="2397"/>
      <c r="K705" s="2397"/>
      <c r="L705" s="2397"/>
      <c r="M705" s="2397"/>
      <c r="N705" s="2397"/>
      <c r="O705" s="2397"/>
      <c r="P705" s="2397"/>
      <c r="Q705" s="2397"/>
      <c r="R705" s="2397"/>
      <c r="S705" s="2397"/>
      <c r="T705" s="2397"/>
      <c r="U705" s="2397"/>
      <c r="V705" s="2397"/>
      <c r="W705" s="2397"/>
      <c r="X705" s="2397"/>
      <c r="Y705" s="2397"/>
      <c r="Z705" s="2397"/>
      <c r="AA705" s="2397"/>
      <c r="AB705" s="2397"/>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509</v>
      </c>
      <c r="E707" s="2391" t="s">
        <v>2089</v>
      </c>
      <c r="F707" s="2391"/>
      <c r="G707" s="2391"/>
      <c r="H707" s="2391"/>
      <c r="I707" s="2391"/>
      <c r="J707" s="2391"/>
      <c r="K707" s="2391"/>
      <c r="L707" s="2391"/>
      <c r="M707" s="2391"/>
      <c r="N707" s="2391"/>
      <c r="O707" s="2391"/>
      <c r="P707" s="2391"/>
      <c r="Q707" s="2391"/>
      <c r="R707" s="2391"/>
      <c r="S707" s="2391"/>
      <c r="T707" s="2391"/>
      <c r="U707" s="2391"/>
      <c r="V707" s="2391"/>
      <c r="W707" s="2391"/>
      <c r="X707" s="2391"/>
      <c r="Y707" s="2391"/>
      <c r="Z707" s="2391"/>
      <c r="AA707" s="2391"/>
      <c r="AB707" s="2391"/>
      <c r="AC707" s="536"/>
      <c r="AD707" s="536"/>
      <c r="AE707" s="536"/>
      <c r="AF707" s="2392" t="s">
        <v>1345</v>
      </c>
      <c r="AG707" s="2392"/>
      <c r="AH707" s="2392"/>
      <c r="AI707" s="2392"/>
      <c r="AJ707" s="2392"/>
      <c r="AK707" s="2392"/>
      <c r="AL707" s="2392"/>
      <c r="AN707" s="595"/>
      <c r="AW707" s="22" t="s">
        <v>2142</v>
      </c>
      <c r="AX707" s="549">
        <f>AX704+AX705+AX706</f>
        <v>23</v>
      </c>
    </row>
    <row r="708" spans="1:51" s="549" customFormat="1" ht="12.75" customHeight="1">
      <c r="B708" s="536"/>
      <c r="C708" s="936"/>
      <c r="D708" s="659"/>
      <c r="E708" s="2391"/>
      <c r="F708" s="2391"/>
      <c r="G708" s="2391"/>
      <c r="H708" s="2391"/>
      <c r="I708" s="2391"/>
      <c r="J708" s="2391"/>
      <c r="K708" s="2391"/>
      <c r="L708" s="2391"/>
      <c r="M708" s="2391"/>
      <c r="N708" s="2391"/>
      <c r="O708" s="2391"/>
      <c r="P708" s="2391"/>
      <c r="Q708" s="2391"/>
      <c r="R708" s="2391"/>
      <c r="S708" s="2391"/>
      <c r="T708" s="2391"/>
      <c r="U708" s="2391"/>
      <c r="V708" s="2391"/>
      <c r="W708" s="2391"/>
      <c r="X708" s="2391"/>
      <c r="Y708" s="2391"/>
      <c r="Z708" s="2391"/>
      <c r="AA708" s="2391"/>
      <c r="AB708" s="2391"/>
      <c r="AC708" s="536"/>
      <c r="AD708" s="536"/>
      <c r="AE708" s="614"/>
      <c r="AF708" s="536"/>
      <c r="AG708" s="536"/>
      <c r="AH708" s="536"/>
      <c r="AI708" s="536"/>
      <c r="AJ708" s="536"/>
      <c r="AK708" s="536"/>
      <c r="AL708" s="536"/>
      <c r="AN708" s="595"/>
      <c r="AO708" s="2461" t="b">
        <f>IF(Application!D211="Special Needs",IF(AY708&gt;=0.25,TRUE,FALSE),IF(AX708&gt;=0.25,TRUE,FALSE))</f>
        <v>0</v>
      </c>
      <c r="AP708" s="2461"/>
      <c r="AW708" s="22" t="s">
        <v>2143</v>
      </c>
      <c r="AX708" s="549">
        <f>IFERROR(AX707/AX703,0)</f>
        <v>0.15753424657534246</v>
      </c>
      <c r="AY708" s="549">
        <f>IFERROR(AX707/(AX703-AX702),0)</f>
        <v>0.15753424657534246</v>
      </c>
    </row>
    <row r="709" spans="1:51" s="549" customFormat="1" ht="12.75" customHeight="1">
      <c r="B709" s="536"/>
      <c r="C709" s="936"/>
      <c r="E709" s="2391"/>
      <c r="F709" s="2391"/>
      <c r="G709" s="2391"/>
      <c r="H709" s="2391"/>
      <c r="I709" s="2391"/>
      <c r="J709" s="2391"/>
      <c r="K709" s="2391"/>
      <c r="L709" s="2391"/>
      <c r="M709" s="2391"/>
      <c r="N709" s="2391"/>
      <c r="O709" s="2391"/>
      <c r="P709" s="2391"/>
      <c r="Q709" s="2391"/>
      <c r="R709" s="2391"/>
      <c r="S709" s="2391"/>
      <c r="T709" s="2391"/>
      <c r="U709" s="2391"/>
      <c r="V709" s="2391"/>
      <c r="W709" s="2391"/>
      <c r="X709" s="2391"/>
      <c r="Y709" s="2391"/>
      <c r="Z709" s="2391"/>
      <c r="AA709" s="2391"/>
      <c r="AB709" s="2391"/>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1"/>
      <c r="F710" s="2391"/>
      <c r="G710" s="2391"/>
      <c r="H710" s="2391"/>
      <c r="I710" s="2391"/>
      <c r="J710" s="2391"/>
      <c r="K710" s="2391"/>
      <c r="L710" s="2391"/>
      <c r="M710" s="2391"/>
      <c r="N710" s="2391"/>
      <c r="O710" s="2391"/>
      <c r="P710" s="2391"/>
      <c r="Q710" s="2391"/>
      <c r="R710" s="2391"/>
      <c r="S710" s="2391"/>
      <c r="T710" s="2391"/>
      <c r="U710" s="2391"/>
      <c r="V710" s="2391"/>
      <c r="W710" s="2391"/>
      <c r="X710" s="2391"/>
      <c r="Y710" s="2391"/>
      <c r="Z710" s="2391"/>
      <c r="AA710" s="2391"/>
      <c r="AB710" s="2391"/>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91" t="s">
        <v>2090</v>
      </c>
      <c r="F712" s="2391"/>
      <c r="G712" s="2391"/>
      <c r="H712" s="2391"/>
      <c r="I712" s="2391"/>
      <c r="J712" s="2391"/>
      <c r="K712" s="2391"/>
      <c r="L712" s="2391"/>
      <c r="M712" s="2391"/>
      <c r="N712" s="2391"/>
      <c r="O712" s="2391"/>
      <c r="P712" s="2391"/>
      <c r="Q712" s="2391"/>
      <c r="R712" s="2391"/>
      <c r="S712" s="2391"/>
      <c r="T712" s="2391"/>
      <c r="U712" s="2391"/>
      <c r="V712" s="2391"/>
      <c r="W712" s="2391"/>
      <c r="X712" s="2391"/>
      <c r="Y712" s="2391"/>
      <c r="Z712" s="2391"/>
      <c r="AA712" s="2391"/>
      <c r="AB712" s="2391"/>
      <c r="AC712" s="536"/>
      <c r="AD712" s="536"/>
      <c r="AE712" s="536"/>
      <c r="AF712" s="2392" t="s">
        <v>1399</v>
      </c>
      <c r="AG712" s="2392"/>
      <c r="AH712" s="2392"/>
      <c r="AI712" s="2392"/>
      <c r="AJ712" s="2392"/>
      <c r="AK712" s="2392"/>
      <c r="AL712" s="2392"/>
      <c r="AN712" s="595"/>
      <c r="AO712" s="609" t="s">
        <v>509</v>
      </c>
      <c r="AP712" s="549">
        <v>1</v>
      </c>
    </row>
    <row r="713" spans="1:51" s="549" customFormat="1" ht="12" customHeight="1">
      <c r="B713" s="536"/>
      <c r="C713" s="927"/>
      <c r="E713" s="2391"/>
      <c r="F713" s="2391"/>
      <c r="G713" s="2391"/>
      <c r="H713" s="2391"/>
      <c r="I713" s="2391"/>
      <c r="J713" s="2391"/>
      <c r="K713" s="2391"/>
      <c r="L713" s="2391"/>
      <c r="M713" s="2391"/>
      <c r="N713" s="2391"/>
      <c r="O713" s="2391"/>
      <c r="P713" s="2391"/>
      <c r="Q713" s="2391"/>
      <c r="R713" s="2391"/>
      <c r="S713" s="2391"/>
      <c r="T713" s="2391"/>
      <c r="U713" s="2391"/>
      <c r="V713" s="2391"/>
      <c r="W713" s="2391"/>
      <c r="X713" s="2391"/>
      <c r="Y713" s="2391"/>
      <c r="Z713" s="2391"/>
      <c r="AA713" s="2391"/>
      <c r="AB713" s="2391"/>
      <c r="AC713" s="536"/>
      <c r="AD713" s="536"/>
      <c r="AE713" s="614"/>
      <c r="AF713" s="536"/>
      <c r="AG713" s="536"/>
      <c r="AH713" s="536"/>
      <c r="AI713" s="536"/>
      <c r="AJ713" s="536"/>
      <c r="AK713" s="536"/>
      <c r="AL713" s="536"/>
      <c r="AN713" s="595"/>
    </row>
    <row r="714" spans="1:51" s="549" customFormat="1" ht="12" customHeight="1">
      <c r="B714" s="536"/>
      <c r="C714" s="927"/>
      <c r="D714" s="536"/>
      <c r="E714" s="2391"/>
      <c r="F714" s="2391"/>
      <c r="G714" s="2391"/>
      <c r="H714" s="2391"/>
      <c r="I714" s="2391"/>
      <c r="J714" s="2391"/>
      <c r="K714" s="2391"/>
      <c r="L714" s="2391"/>
      <c r="M714" s="2391"/>
      <c r="N714" s="2391"/>
      <c r="O714" s="2391"/>
      <c r="P714" s="2391"/>
      <c r="Q714" s="2391"/>
      <c r="R714" s="2391"/>
      <c r="S714" s="2391"/>
      <c r="T714" s="2391"/>
      <c r="U714" s="2391"/>
      <c r="V714" s="2391"/>
      <c r="W714" s="2391"/>
      <c r="X714" s="2391"/>
      <c r="Y714" s="2391"/>
      <c r="Z714" s="2391"/>
      <c r="AA714" s="2391"/>
      <c r="AB714" s="2391"/>
      <c r="AC714" s="536"/>
      <c r="AD714" s="536"/>
      <c r="AE714" s="614"/>
      <c r="AF714" s="536"/>
      <c r="AG714" s="536"/>
      <c r="AH714" s="536"/>
      <c r="AI714" s="536"/>
      <c r="AJ714" s="536"/>
      <c r="AK714" s="536"/>
      <c r="AL714" s="536"/>
      <c r="AN714" s="595"/>
    </row>
    <row r="715" spans="1:51" s="549" customFormat="1" ht="12" customHeight="1">
      <c r="B715" s="536"/>
      <c r="C715" s="927"/>
      <c r="D715" s="536"/>
      <c r="E715" s="2391"/>
      <c r="F715" s="2391"/>
      <c r="G715" s="2391"/>
      <c r="H715" s="2391"/>
      <c r="I715" s="2391"/>
      <c r="J715" s="2391"/>
      <c r="K715" s="2391"/>
      <c r="L715" s="2391"/>
      <c r="M715" s="2391"/>
      <c r="N715" s="2391"/>
      <c r="O715" s="2391"/>
      <c r="P715" s="2391"/>
      <c r="Q715" s="2391"/>
      <c r="R715" s="2391"/>
      <c r="S715" s="2391"/>
      <c r="T715" s="2391"/>
      <c r="U715" s="2391"/>
      <c r="V715" s="2391"/>
      <c r="W715" s="2391"/>
      <c r="X715" s="2391"/>
      <c r="Y715" s="2391"/>
      <c r="Z715" s="2391"/>
      <c r="AA715" s="2391"/>
      <c r="AB715" s="2391"/>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91"/>
      <c r="F716" s="2391"/>
      <c r="G716" s="2391"/>
      <c r="H716" s="2391"/>
      <c r="I716" s="2391"/>
      <c r="J716" s="2391"/>
      <c r="K716" s="2391"/>
      <c r="L716" s="2391"/>
      <c r="M716" s="2391"/>
      <c r="N716" s="2391"/>
      <c r="O716" s="2391"/>
      <c r="P716" s="2391"/>
      <c r="Q716" s="2391"/>
      <c r="R716" s="2391"/>
      <c r="S716" s="2391"/>
      <c r="T716" s="2391"/>
      <c r="U716" s="2391"/>
      <c r="V716" s="2391"/>
      <c r="W716" s="2391"/>
      <c r="X716" s="2391"/>
      <c r="Y716" s="2391"/>
      <c r="Z716" s="2391"/>
      <c r="AA716" s="2391"/>
      <c r="AB716" s="2391"/>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91" t="s">
        <v>1681</v>
      </c>
      <c r="F718" s="2391"/>
      <c r="G718" s="2391"/>
      <c r="H718" s="2391"/>
      <c r="I718" s="2391"/>
      <c r="J718" s="2391"/>
      <c r="K718" s="2391"/>
      <c r="L718" s="2391"/>
      <c r="M718" s="2391"/>
      <c r="N718" s="2391"/>
      <c r="O718" s="2391"/>
      <c r="P718" s="2391"/>
      <c r="Q718" s="2391"/>
      <c r="R718" s="2391"/>
      <c r="S718" s="2391"/>
      <c r="T718" s="2391"/>
      <c r="U718" s="2391"/>
      <c r="V718" s="2391"/>
      <c r="W718" s="2391"/>
      <c r="X718" s="2391"/>
      <c r="Y718" s="2391"/>
      <c r="Z718" s="2391"/>
      <c r="AA718" s="2391"/>
      <c r="AB718" s="2391"/>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91"/>
      <c r="F719" s="2391"/>
      <c r="G719" s="2391"/>
      <c r="H719" s="2391"/>
      <c r="I719" s="2391"/>
      <c r="J719" s="2391"/>
      <c r="K719" s="2391"/>
      <c r="L719" s="2391"/>
      <c r="M719" s="2391"/>
      <c r="N719" s="2391"/>
      <c r="O719" s="2391"/>
      <c r="P719" s="2391"/>
      <c r="Q719" s="2391"/>
      <c r="R719" s="2391"/>
      <c r="S719" s="2391"/>
      <c r="T719" s="2391"/>
      <c r="U719" s="2391"/>
      <c r="V719" s="2391"/>
      <c r="W719" s="2391"/>
      <c r="X719" s="2391"/>
      <c r="Y719" s="2391"/>
      <c r="Z719" s="2391"/>
      <c r="AA719" s="2391"/>
      <c r="AB719" s="2391"/>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91"/>
      <c r="F720" s="2391"/>
      <c r="G720" s="2391"/>
      <c r="H720" s="2391"/>
      <c r="I720" s="2391"/>
      <c r="J720" s="2391"/>
      <c r="K720" s="2391"/>
      <c r="L720" s="2391"/>
      <c r="M720" s="2391"/>
      <c r="N720" s="2391"/>
      <c r="O720" s="2391"/>
      <c r="P720" s="2391"/>
      <c r="Q720" s="2391"/>
      <c r="R720" s="2391"/>
      <c r="S720" s="2391"/>
      <c r="T720" s="2391"/>
      <c r="U720" s="2391"/>
      <c r="V720" s="2391"/>
      <c r="W720" s="2391"/>
      <c r="X720" s="2391"/>
      <c r="Y720" s="2391"/>
      <c r="Z720" s="2391"/>
      <c r="AA720" s="2391"/>
      <c r="AB720" s="2391"/>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3" t="s">
        <v>591</v>
      </c>
      <c r="I722" s="2393"/>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94">
        <f>VLOOKUP($H$722,$AO$716:$AP$719,2,FALSE)</f>
        <v>0</v>
      </c>
      <c r="AK724" s="2395"/>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687</v>
      </c>
      <c r="E728" s="2533" t="s">
        <v>1683</v>
      </c>
      <c r="F728" s="2533"/>
      <c r="G728" s="2533"/>
      <c r="H728" s="2533"/>
      <c r="I728" s="2533"/>
      <c r="J728" s="2533"/>
      <c r="K728" s="2533"/>
      <c r="L728" s="2533"/>
      <c r="M728" s="2533"/>
      <c r="N728" s="2533"/>
      <c r="O728" s="2533"/>
      <c r="P728" s="2533"/>
      <c r="Q728" s="2533"/>
      <c r="R728" s="2533"/>
      <c r="S728" s="2533"/>
      <c r="T728" s="2533"/>
      <c r="U728" s="2533"/>
      <c r="V728" s="2533"/>
      <c r="W728" s="2533"/>
      <c r="X728" s="2533"/>
      <c r="Y728" s="2533"/>
      <c r="Z728" s="2533"/>
      <c r="AA728" s="2533"/>
      <c r="AB728" s="2533"/>
      <c r="AC728" s="536"/>
      <c r="AD728" s="536"/>
      <c r="AE728" s="536"/>
      <c r="AF728" s="2392" t="s">
        <v>1345</v>
      </c>
      <c r="AG728" s="2392"/>
      <c r="AH728" s="2392"/>
      <c r="AI728" s="2392"/>
      <c r="AJ728" s="2392"/>
      <c r="AK728" s="2392"/>
      <c r="AL728" s="2392"/>
      <c r="AM728" s="549"/>
      <c r="AN728" s="680"/>
      <c r="AP728" s="568" t="s">
        <v>1423</v>
      </c>
    </row>
    <row r="729" spans="1:43" s="568" customFormat="1" ht="11.85" customHeight="1">
      <c r="A729" s="549"/>
      <c r="B729" s="536"/>
      <c r="C729" s="929"/>
      <c r="D729" s="659"/>
      <c r="E729" s="2533"/>
      <c r="F729" s="2533"/>
      <c r="G729" s="2533"/>
      <c r="H729" s="2533"/>
      <c r="I729" s="2533"/>
      <c r="J729" s="2533"/>
      <c r="K729" s="2533"/>
      <c r="L729" s="2533"/>
      <c r="M729" s="2533"/>
      <c r="N729" s="2533"/>
      <c r="O729" s="2533"/>
      <c r="P729" s="2533"/>
      <c r="Q729" s="2533"/>
      <c r="R729" s="2533"/>
      <c r="S729" s="2533"/>
      <c r="T729" s="2533"/>
      <c r="U729" s="2533"/>
      <c r="V729" s="2533"/>
      <c r="W729" s="2533"/>
      <c r="X729" s="2533"/>
      <c r="Y729" s="2533"/>
      <c r="Z729" s="2533"/>
      <c r="AA729" s="2533"/>
      <c r="AB729" s="2533"/>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33"/>
      <c r="F730" s="2533"/>
      <c r="G730" s="2533"/>
      <c r="H730" s="2533"/>
      <c r="I730" s="2533"/>
      <c r="J730" s="2533"/>
      <c r="K730" s="2533"/>
      <c r="L730" s="2533"/>
      <c r="M730" s="2533"/>
      <c r="N730" s="2533"/>
      <c r="O730" s="2533"/>
      <c r="P730" s="2533"/>
      <c r="Q730" s="2533"/>
      <c r="R730" s="2533"/>
      <c r="S730" s="2533"/>
      <c r="T730" s="2533"/>
      <c r="U730" s="2533"/>
      <c r="V730" s="2533"/>
      <c r="W730" s="2533"/>
      <c r="X730" s="2533"/>
      <c r="Y730" s="2533"/>
      <c r="Z730" s="2533"/>
      <c r="AA730" s="2533"/>
      <c r="AB730" s="2533"/>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509</v>
      </c>
      <c r="E732" s="2534" t="s">
        <v>1426</v>
      </c>
      <c r="F732" s="2534"/>
      <c r="G732" s="2534"/>
      <c r="H732" s="2534"/>
      <c r="I732" s="2534"/>
      <c r="J732" s="2534"/>
      <c r="K732" s="2534"/>
      <c r="L732" s="2534"/>
      <c r="M732" s="2534"/>
      <c r="N732" s="2534"/>
      <c r="O732" s="2534"/>
      <c r="P732" s="2534"/>
      <c r="Q732" s="2534"/>
      <c r="R732" s="2534"/>
      <c r="S732" s="2534"/>
      <c r="T732" s="2534"/>
      <c r="U732" s="2534"/>
      <c r="V732" s="2534"/>
      <c r="W732" s="2534"/>
      <c r="X732" s="2534"/>
      <c r="Y732" s="2534"/>
      <c r="Z732" s="2534"/>
      <c r="AA732" s="2534"/>
      <c r="AB732" s="2534"/>
      <c r="AC732" s="536"/>
      <c r="AD732" s="536"/>
      <c r="AE732" s="536"/>
      <c r="AF732" s="2392" t="s">
        <v>1399</v>
      </c>
      <c r="AG732" s="2392"/>
      <c r="AH732" s="2392"/>
      <c r="AI732" s="2392"/>
      <c r="AJ732" s="2392"/>
      <c r="AK732" s="2392"/>
      <c r="AL732" s="2392"/>
      <c r="AM732" s="549"/>
      <c r="AN732" s="681"/>
    </row>
    <row r="733" spans="1:43" s="568" customFormat="1" ht="12.75" customHeight="1">
      <c r="A733" s="549"/>
      <c r="B733" s="536"/>
      <c r="C733" s="929"/>
      <c r="D733" s="536"/>
      <c r="E733" s="2534"/>
      <c r="F733" s="2534"/>
      <c r="G733" s="2534"/>
      <c r="H733" s="2534"/>
      <c r="I733" s="2534"/>
      <c r="J733" s="2534"/>
      <c r="K733" s="2534"/>
      <c r="L733" s="2534"/>
      <c r="M733" s="2534"/>
      <c r="N733" s="2534"/>
      <c r="O733" s="2534"/>
      <c r="P733" s="2534"/>
      <c r="Q733" s="2534"/>
      <c r="R733" s="2534"/>
      <c r="S733" s="2534"/>
      <c r="T733" s="2534"/>
      <c r="U733" s="2534"/>
      <c r="V733" s="2534"/>
      <c r="W733" s="2534"/>
      <c r="X733" s="2534"/>
      <c r="Y733" s="2534"/>
      <c r="Z733" s="2534"/>
      <c r="AA733" s="2534"/>
      <c r="AB733" s="2534"/>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4"/>
      <c r="F734" s="2534"/>
      <c r="G734" s="2534"/>
      <c r="H734" s="2534"/>
      <c r="I734" s="2534"/>
      <c r="J734" s="2534"/>
      <c r="K734" s="2534"/>
      <c r="L734" s="2534"/>
      <c r="M734" s="2534"/>
      <c r="N734" s="2534"/>
      <c r="O734" s="2534"/>
      <c r="P734" s="2534"/>
      <c r="Q734" s="2534"/>
      <c r="R734" s="2534"/>
      <c r="S734" s="2534"/>
      <c r="T734" s="2534"/>
      <c r="U734" s="2534"/>
      <c r="V734" s="2534"/>
      <c r="W734" s="2534"/>
      <c r="X734" s="2534"/>
      <c r="Y734" s="2534"/>
      <c r="Z734" s="2534"/>
      <c r="AA734" s="2534"/>
      <c r="AB734" s="2534"/>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1391</v>
      </c>
      <c r="E736" s="932"/>
      <c r="F736" s="932"/>
      <c r="G736" s="932"/>
      <c r="H736" s="2393" t="s">
        <v>591</v>
      </c>
      <c r="I736" s="2393"/>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4">
        <f>VLOOKUP($H$736,$AP$733:$AQ$735,2,FALSE)</f>
        <v>0</v>
      </c>
      <c r="AK738" s="2395"/>
      <c r="AL738" s="593"/>
      <c r="AM738" s="549"/>
      <c r="AN738" s="680"/>
      <c r="AP738" s="2394"/>
      <c r="AQ738" s="239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91" t="s">
        <v>1684</v>
      </c>
      <c r="F742" s="2391"/>
      <c r="G742" s="2391"/>
      <c r="H742" s="2391"/>
      <c r="I742" s="2391"/>
      <c r="J742" s="2391"/>
      <c r="K742" s="2391"/>
      <c r="L742" s="2391"/>
      <c r="M742" s="2391"/>
      <c r="N742" s="2391"/>
      <c r="O742" s="2391"/>
      <c r="P742" s="2391"/>
      <c r="Q742" s="2391"/>
      <c r="R742" s="2391"/>
      <c r="S742" s="2391"/>
      <c r="T742" s="2391"/>
      <c r="U742" s="2391"/>
      <c r="V742" s="2391"/>
      <c r="W742" s="2391"/>
      <c r="X742" s="2391"/>
      <c r="Y742" s="2391"/>
      <c r="Z742" s="2391"/>
      <c r="AA742" s="2391"/>
      <c r="AB742" s="2391"/>
      <c r="AC742" s="536"/>
      <c r="AD742" s="536"/>
      <c r="AE742" s="536"/>
      <c r="AF742" s="2392" t="s">
        <v>1345</v>
      </c>
      <c r="AG742" s="2392"/>
      <c r="AH742" s="2392"/>
      <c r="AI742" s="2392"/>
      <c r="AJ742" s="2392"/>
      <c r="AK742" s="2392"/>
      <c r="AL742" s="2392"/>
      <c r="AM742" s="549"/>
      <c r="AN742" s="680"/>
      <c r="AT742" s="14"/>
      <c r="AU742" s="14"/>
      <c r="AV742" s="14"/>
      <c r="AW742" s="14"/>
      <c r="AX742" s="14"/>
      <c r="AY742" s="14"/>
      <c r="AZ742" s="14"/>
    </row>
    <row r="743" spans="1:81" s="568" customFormat="1">
      <c r="A743" s="549"/>
      <c r="B743" s="536"/>
      <c r="C743" s="929"/>
      <c r="D743" s="659"/>
      <c r="E743" s="2391"/>
      <c r="F743" s="2391"/>
      <c r="G743" s="2391"/>
      <c r="H743" s="2391"/>
      <c r="I743" s="2391"/>
      <c r="J743" s="2391"/>
      <c r="K743" s="2391"/>
      <c r="L743" s="2391"/>
      <c r="M743" s="2391"/>
      <c r="N743" s="2391"/>
      <c r="O743" s="2391"/>
      <c r="P743" s="2391"/>
      <c r="Q743" s="2391"/>
      <c r="R743" s="2391"/>
      <c r="S743" s="2391"/>
      <c r="T743" s="2391"/>
      <c r="U743" s="2391"/>
      <c r="V743" s="2391"/>
      <c r="W743" s="2391"/>
      <c r="X743" s="2391"/>
      <c r="Y743" s="2391"/>
      <c r="Z743" s="2391"/>
      <c r="AA743" s="2391"/>
      <c r="AB743" s="2391"/>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91" t="s">
        <v>1430</v>
      </c>
      <c r="F745" s="2391"/>
      <c r="G745" s="2391"/>
      <c r="H745" s="2391"/>
      <c r="I745" s="2391"/>
      <c r="J745" s="2391"/>
      <c r="K745" s="2391"/>
      <c r="L745" s="2391"/>
      <c r="M745" s="2391"/>
      <c r="N745" s="2391"/>
      <c r="O745" s="2391"/>
      <c r="P745" s="2391"/>
      <c r="Q745" s="2391"/>
      <c r="R745" s="2391"/>
      <c r="S745" s="2391"/>
      <c r="T745" s="2391"/>
      <c r="U745" s="2391"/>
      <c r="V745" s="2391"/>
      <c r="W745" s="2391"/>
      <c r="X745" s="2391"/>
      <c r="Y745" s="2391"/>
      <c r="Z745" s="2391"/>
      <c r="AA745" s="2391"/>
      <c r="AB745" s="2391"/>
      <c r="AC745" s="536"/>
      <c r="AD745" s="536"/>
      <c r="AE745" s="536"/>
      <c r="AF745" s="2392" t="s">
        <v>1399</v>
      </c>
      <c r="AG745" s="2392"/>
      <c r="AH745" s="2392"/>
      <c r="AI745" s="2392"/>
      <c r="AJ745" s="2392"/>
      <c r="AK745" s="2392"/>
      <c r="AL745" s="2392"/>
      <c r="AM745" s="549"/>
      <c r="AN745" s="680"/>
      <c r="AT745" s="14"/>
      <c r="AU745" s="14"/>
      <c r="AV745" s="14"/>
      <c r="AW745" s="14"/>
      <c r="AX745" s="14"/>
      <c r="AY745" s="14"/>
      <c r="AZ745" s="14"/>
    </row>
    <row r="746" spans="1:81" s="568" customFormat="1">
      <c r="A746" s="549"/>
      <c r="B746" s="536"/>
      <c r="C746" s="929"/>
      <c r="D746" s="536"/>
      <c r="E746" s="2391"/>
      <c r="F746" s="2391"/>
      <c r="G746" s="2391"/>
      <c r="H746" s="2391"/>
      <c r="I746" s="2391"/>
      <c r="J746" s="2391"/>
      <c r="K746" s="2391"/>
      <c r="L746" s="2391"/>
      <c r="M746" s="2391"/>
      <c r="N746" s="2391"/>
      <c r="O746" s="2391"/>
      <c r="P746" s="2391"/>
      <c r="Q746" s="2391"/>
      <c r="R746" s="2391"/>
      <c r="S746" s="2391"/>
      <c r="T746" s="2391"/>
      <c r="U746" s="2391"/>
      <c r="V746" s="2391"/>
      <c r="W746" s="2391"/>
      <c r="X746" s="2391"/>
      <c r="Y746" s="2391"/>
      <c r="Z746" s="2391"/>
      <c r="AA746" s="2391"/>
      <c r="AB746" s="2391"/>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3" t="s">
        <v>591</v>
      </c>
      <c r="I748" s="2393"/>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4">
        <f>VLOOKUP($H$748,$AO$679:$AP$681,2,FALSE)</f>
        <v>0</v>
      </c>
      <c r="AK750" s="239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91" t="s">
        <v>1433</v>
      </c>
      <c r="F754" s="2391"/>
      <c r="G754" s="2391"/>
      <c r="H754" s="2391"/>
      <c r="I754" s="2391"/>
      <c r="J754" s="2391"/>
      <c r="K754" s="2391"/>
      <c r="L754" s="2391"/>
      <c r="M754" s="2391"/>
      <c r="N754" s="2391"/>
      <c r="O754" s="2391"/>
      <c r="P754" s="2391"/>
      <c r="Q754" s="2391"/>
      <c r="R754" s="2391"/>
      <c r="S754" s="2391"/>
      <c r="T754" s="2391"/>
      <c r="U754" s="2391"/>
      <c r="V754" s="2391"/>
      <c r="W754" s="2391"/>
      <c r="X754" s="2391"/>
      <c r="Y754" s="2391"/>
      <c r="Z754" s="2391"/>
      <c r="AA754" s="2391"/>
      <c r="AB754" s="2391"/>
      <c r="AC754" s="536"/>
      <c r="AD754" s="536"/>
      <c r="AE754" s="536"/>
      <c r="AF754" s="2392" t="s">
        <v>1345</v>
      </c>
      <c r="AG754" s="2392"/>
      <c r="AH754" s="2392"/>
      <c r="AI754" s="2392"/>
      <c r="AJ754" s="2392"/>
      <c r="AK754" s="2392"/>
      <c r="AL754" s="2392"/>
      <c r="AM754" s="549"/>
      <c r="AN754" s="680"/>
      <c r="AT754" s="14"/>
      <c r="AU754" s="14"/>
      <c r="AV754" s="14"/>
      <c r="AW754" s="14"/>
      <c r="AX754" s="14"/>
      <c r="AY754" s="14"/>
      <c r="AZ754" s="14"/>
    </row>
    <row r="755" spans="1:81" s="568" customFormat="1">
      <c r="A755" s="549"/>
      <c r="B755" s="536"/>
      <c r="C755" s="927"/>
      <c r="D755" s="659"/>
      <c r="E755" s="2391"/>
      <c r="F755" s="2391"/>
      <c r="G755" s="2391"/>
      <c r="H755" s="2391"/>
      <c r="I755" s="2391"/>
      <c r="J755" s="2391"/>
      <c r="K755" s="2391"/>
      <c r="L755" s="2391"/>
      <c r="M755" s="2391"/>
      <c r="N755" s="2391"/>
      <c r="O755" s="2391"/>
      <c r="P755" s="2391"/>
      <c r="Q755" s="2391"/>
      <c r="R755" s="2391"/>
      <c r="S755" s="2391"/>
      <c r="T755" s="2391"/>
      <c r="U755" s="2391"/>
      <c r="V755" s="2391"/>
      <c r="W755" s="2391"/>
      <c r="X755" s="2391"/>
      <c r="Y755" s="2391"/>
      <c r="Z755" s="2391"/>
      <c r="AA755" s="2391"/>
      <c r="AB755" s="2391"/>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1"/>
      <c r="F756" s="2391"/>
      <c r="G756" s="2391"/>
      <c r="H756" s="2391"/>
      <c r="I756" s="2391"/>
      <c r="J756" s="2391"/>
      <c r="K756" s="2391"/>
      <c r="L756" s="2391"/>
      <c r="M756" s="2391"/>
      <c r="N756" s="2391"/>
      <c r="O756" s="2391"/>
      <c r="P756" s="2391"/>
      <c r="Q756" s="2391"/>
      <c r="R756" s="2391"/>
      <c r="S756" s="2391"/>
      <c r="T756" s="2391"/>
      <c r="U756" s="2391"/>
      <c r="V756" s="2391"/>
      <c r="W756" s="2391"/>
      <c r="X756" s="2391"/>
      <c r="Y756" s="2391"/>
      <c r="Z756" s="2391"/>
      <c r="AA756" s="2391"/>
      <c r="AB756" s="2391"/>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1"/>
      <c r="F757" s="2391"/>
      <c r="G757" s="2391"/>
      <c r="H757" s="2391"/>
      <c r="I757" s="2391"/>
      <c r="J757" s="2391"/>
      <c r="K757" s="2391"/>
      <c r="L757" s="2391"/>
      <c r="M757" s="2391"/>
      <c r="N757" s="2391"/>
      <c r="O757" s="2391"/>
      <c r="P757" s="2391"/>
      <c r="Q757" s="2391"/>
      <c r="R757" s="2391"/>
      <c r="S757" s="2391"/>
      <c r="T757" s="2391"/>
      <c r="U757" s="2391"/>
      <c r="V757" s="2391"/>
      <c r="W757" s="2391"/>
      <c r="X757" s="2391"/>
      <c r="Y757" s="2391"/>
      <c r="Z757" s="2391"/>
      <c r="AA757" s="2391"/>
      <c r="AB757" s="2391"/>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91" t="s">
        <v>1434</v>
      </c>
      <c r="F759" s="2391"/>
      <c r="G759" s="2391"/>
      <c r="H759" s="2391"/>
      <c r="I759" s="2391"/>
      <c r="J759" s="2391"/>
      <c r="K759" s="2391"/>
      <c r="L759" s="2391"/>
      <c r="M759" s="2391"/>
      <c r="N759" s="2391"/>
      <c r="O759" s="2391"/>
      <c r="P759" s="2391"/>
      <c r="Q759" s="2391"/>
      <c r="R759" s="2391"/>
      <c r="S759" s="2391"/>
      <c r="T759" s="2391"/>
      <c r="U759" s="2391"/>
      <c r="V759" s="2391"/>
      <c r="W759" s="2391"/>
      <c r="X759" s="2391"/>
      <c r="Y759" s="2391"/>
      <c r="Z759" s="2391"/>
      <c r="AA759" s="2391"/>
      <c r="AB759" s="573"/>
      <c r="AC759" s="536"/>
      <c r="AD759" s="536"/>
      <c r="AE759" s="536"/>
      <c r="AF759" s="2392" t="s">
        <v>1399</v>
      </c>
      <c r="AG759" s="2392"/>
      <c r="AH759" s="2392"/>
      <c r="AI759" s="2392"/>
      <c r="AJ759" s="2392"/>
      <c r="AK759" s="2392"/>
      <c r="AL759" s="2392"/>
      <c r="AM759" s="549"/>
      <c r="AN759" s="680"/>
      <c r="AO759" s="30"/>
      <c r="AP759" s="14"/>
    </row>
    <row r="760" spans="1:81" s="568" customFormat="1">
      <c r="A760" s="549"/>
      <c r="B760" s="536"/>
      <c r="C760" s="927"/>
      <c r="D760" s="659"/>
      <c r="E760" s="2391"/>
      <c r="F760" s="2391"/>
      <c r="G760" s="2391"/>
      <c r="H760" s="2391"/>
      <c r="I760" s="2391"/>
      <c r="J760" s="2391"/>
      <c r="K760" s="2391"/>
      <c r="L760" s="2391"/>
      <c r="M760" s="2391"/>
      <c r="N760" s="2391"/>
      <c r="O760" s="2391"/>
      <c r="P760" s="2391"/>
      <c r="Q760" s="2391"/>
      <c r="R760" s="2391"/>
      <c r="S760" s="2391"/>
      <c r="T760" s="2391"/>
      <c r="U760" s="2391"/>
      <c r="V760" s="2391"/>
      <c r="W760" s="2391"/>
      <c r="X760" s="2391"/>
      <c r="Y760" s="2391"/>
      <c r="Z760" s="2391"/>
      <c r="AA760" s="2391"/>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1"/>
      <c r="F761" s="2391"/>
      <c r="G761" s="2391"/>
      <c r="H761" s="2391"/>
      <c r="I761" s="2391"/>
      <c r="J761" s="2391"/>
      <c r="K761" s="2391"/>
      <c r="L761" s="2391"/>
      <c r="M761" s="2391"/>
      <c r="N761" s="2391"/>
      <c r="O761" s="2391"/>
      <c r="P761" s="2391"/>
      <c r="Q761" s="2391"/>
      <c r="R761" s="2391"/>
      <c r="S761" s="2391"/>
      <c r="T761" s="2391"/>
      <c r="U761" s="2391"/>
      <c r="V761" s="2391"/>
      <c r="W761" s="2391"/>
      <c r="X761" s="2391"/>
      <c r="Y761" s="2391"/>
      <c r="Z761" s="2391"/>
      <c r="AA761" s="2391"/>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1"/>
      <c r="F762" s="2391"/>
      <c r="G762" s="2391"/>
      <c r="H762" s="2391"/>
      <c r="I762" s="2391"/>
      <c r="J762" s="2391"/>
      <c r="K762" s="2391"/>
      <c r="L762" s="2391"/>
      <c r="M762" s="2391"/>
      <c r="N762" s="2391"/>
      <c r="O762" s="2391"/>
      <c r="P762" s="2391"/>
      <c r="Q762" s="2391"/>
      <c r="R762" s="2391"/>
      <c r="S762" s="2391"/>
      <c r="T762" s="2391"/>
      <c r="U762" s="2391"/>
      <c r="V762" s="2391"/>
      <c r="W762" s="2391"/>
      <c r="X762" s="2391"/>
      <c r="Y762" s="2391"/>
      <c r="Z762" s="2391"/>
      <c r="AA762" s="2391"/>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3" t="s">
        <v>687</v>
      </c>
      <c r="I764" s="2393"/>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4">
        <f>VLOOKUP($H$764,$AO$693:$AP$695,2,FALSE)</f>
        <v>3</v>
      </c>
      <c r="AK766" s="239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91" t="s">
        <v>1436</v>
      </c>
      <c r="F770" s="2391"/>
      <c r="G770" s="2391"/>
      <c r="H770" s="2391"/>
      <c r="I770" s="2391"/>
      <c r="J770" s="2391"/>
      <c r="K770" s="2391"/>
      <c r="L770" s="2391"/>
      <c r="M770" s="2391"/>
      <c r="N770" s="2391"/>
      <c r="O770" s="2391"/>
      <c r="P770" s="2391"/>
      <c r="Q770" s="2391"/>
      <c r="R770" s="2391"/>
      <c r="S770" s="2391"/>
      <c r="T770" s="2391"/>
      <c r="U770" s="2391"/>
      <c r="V770" s="2391"/>
      <c r="W770" s="2391"/>
      <c r="X770" s="2391"/>
      <c r="Y770" s="2391"/>
      <c r="Z770" s="2391"/>
      <c r="AA770" s="2391"/>
      <c r="AB770" s="2391"/>
      <c r="AC770" s="536"/>
      <c r="AD770" s="536"/>
      <c r="AE770" s="536"/>
      <c r="AF770" s="2392" t="s">
        <v>1399</v>
      </c>
      <c r="AG770" s="2392"/>
      <c r="AH770" s="2392"/>
      <c r="AI770" s="2392"/>
      <c r="AJ770" s="2392"/>
      <c r="AK770" s="2392"/>
      <c r="AL770" s="239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1"/>
      <c r="F771" s="2391"/>
      <c r="G771" s="2391"/>
      <c r="H771" s="2391"/>
      <c r="I771" s="2391"/>
      <c r="J771" s="2391"/>
      <c r="K771" s="2391"/>
      <c r="L771" s="2391"/>
      <c r="M771" s="2391"/>
      <c r="N771" s="2391"/>
      <c r="O771" s="2391"/>
      <c r="P771" s="2391"/>
      <c r="Q771" s="2391"/>
      <c r="R771" s="2391"/>
      <c r="S771" s="2391"/>
      <c r="T771" s="2391"/>
      <c r="U771" s="2391"/>
      <c r="V771" s="2391"/>
      <c r="W771" s="2391"/>
      <c r="X771" s="2391"/>
      <c r="Y771" s="2391"/>
      <c r="Z771" s="2391"/>
      <c r="AA771" s="2391"/>
      <c r="AB771" s="2391"/>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91" t="s">
        <v>1437</v>
      </c>
      <c r="F773" s="2391"/>
      <c r="G773" s="2391"/>
      <c r="H773" s="2391"/>
      <c r="I773" s="2391"/>
      <c r="J773" s="2391"/>
      <c r="K773" s="2391"/>
      <c r="L773" s="2391"/>
      <c r="M773" s="2391"/>
      <c r="N773" s="2391"/>
      <c r="O773" s="2391"/>
      <c r="P773" s="2391"/>
      <c r="Q773" s="2391"/>
      <c r="R773" s="2391"/>
      <c r="S773" s="2391"/>
      <c r="T773" s="2391"/>
      <c r="U773" s="2391"/>
      <c r="V773" s="2391"/>
      <c r="W773" s="2391"/>
      <c r="X773" s="2391"/>
      <c r="Y773" s="2391"/>
      <c r="Z773" s="2391"/>
      <c r="AA773" s="2391"/>
      <c r="AB773" s="2391"/>
      <c r="AC773" s="536"/>
      <c r="AD773" s="536"/>
      <c r="AE773" s="536"/>
      <c r="AF773" s="2392" t="s">
        <v>1416</v>
      </c>
      <c r="AG773" s="2392"/>
      <c r="AH773" s="2392"/>
      <c r="AI773" s="2392"/>
      <c r="AJ773" s="2392"/>
      <c r="AK773" s="2392"/>
      <c r="AL773" s="239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1"/>
      <c r="F774" s="2391"/>
      <c r="G774" s="2391"/>
      <c r="H774" s="2391"/>
      <c r="I774" s="2391"/>
      <c r="J774" s="2391"/>
      <c r="K774" s="2391"/>
      <c r="L774" s="2391"/>
      <c r="M774" s="2391"/>
      <c r="N774" s="2391"/>
      <c r="O774" s="2391"/>
      <c r="P774" s="2391"/>
      <c r="Q774" s="2391"/>
      <c r="R774" s="2391"/>
      <c r="S774" s="2391"/>
      <c r="T774" s="2391"/>
      <c r="U774" s="2391"/>
      <c r="V774" s="2391"/>
      <c r="W774" s="2391"/>
      <c r="X774" s="2391"/>
      <c r="Y774" s="2391"/>
      <c r="Z774" s="2391"/>
      <c r="AA774" s="2391"/>
      <c r="AB774" s="2391"/>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3" t="s">
        <v>687</v>
      </c>
      <c r="I776" s="2393"/>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4">
        <f>VLOOKUP($H$776,$AO$710:$AP$712,2,FALSE)</f>
        <v>2</v>
      </c>
      <c r="AK778" s="239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91" t="s">
        <v>1680</v>
      </c>
      <c r="F782" s="2391"/>
      <c r="G782" s="2391"/>
      <c r="H782" s="2391"/>
      <c r="I782" s="2391"/>
      <c r="J782" s="2391"/>
      <c r="K782" s="2391"/>
      <c r="L782" s="2391"/>
      <c r="M782" s="2391"/>
      <c r="N782" s="2391"/>
      <c r="O782" s="2391"/>
      <c r="P782" s="2391"/>
      <c r="Q782" s="2391"/>
      <c r="R782" s="2391"/>
      <c r="S782" s="2391"/>
      <c r="T782" s="2391"/>
      <c r="U782" s="2391"/>
      <c r="V782" s="2391"/>
      <c r="W782" s="2391"/>
      <c r="X782" s="2391"/>
      <c r="Y782" s="2391"/>
      <c r="Z782" s="2391"/>
      <c r="AA782" s="2391"/>
      <c r="AB782" s="2391"/>
      <c r="AC782" s="2391"/>
      <c r="AD782" s="2391"/>
      <c r="AE782" s="536"/>
      <c r="AF782" s="2392" t="s">
        <v>1399</v>
      </c>
      <c r="AG782" s="2392"/>
      <c r="AH782" s="2392"/>
      <c r="AI782" s="2392"/>
      <c r="AJ782" s="2392"/>
      <c r="AK782" s="2392"/>
      <c r="AL782" s="2392"/>
      <c r="AM782" s="611"/>
      <c r="AN782" s="680"/>
      <c r="AO782" s="549" t="s">
        <v>591</v>
      </c>
      <c r="AP782" s="669">
        <v>0</v>
      </c>
    </row>
    <row r="783" spans="1:74" s="568" customFormat="1" ht="13.7" customHeight="1">
      <c r="A783" s="549"/>
      <c r="B783" s="614"/>
      <c r="C783" s="936"/>
      <c r="D783" s="659"/>
      <c r="E783" s="2391"/>
      <c r="F783" s="2391"/>
      <c r="G783" s="2391"/>
      <c r="H783" s="2391"/>
      <c r="I783" s="2391"/>
      <c r="J783" s="2391"/>
      <c r="K783" s="2391"/>
      <c r="L783" s="2391"/>
      <c r="M783" s="2391"/>
      <c r="N783" s="2391"/>
      <c r="O783" s="2391"/>
      <c r="P783" s="2391"/>
      <c r="Q783" s="2391"/>
      <c r="R783" s="2391"/>
      <c r="S783" s="2391"/>
      <c r="T783" s="2391"/>
      <c r="U783" s="2391"/>
      <c r="V783" s="2391"/>
      <c r="W783" s="2391"/>
      <c r="X783" s="2391"/>
      <c r="Y783" s="2391"/>
      <c r="Z783" s="2391"/>
      <c r="AA783" s="2391"/>
      <c r="AB783" s="2391"/>
      <c r="AC783" s="2391"/>
      <c r="AD783" s="2391"/>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91"/>
      <c r="F784" s="2391"/>
      <c r="G784" s="2391"/>
      <c r="H784" s="2391"/>
      <c r="I784" s="2391"/>
      <c r="J784" s="2391"/>
      <c r="K784" s="2391"/>
      <c r="L784" s="2391"/>
      <c r="M784" s="2391"/>
      <c r="N784" s="2391"/>
      <c r="O784" s="2391"/>
      <c r="P784" s="2391"/>
      <c r="Q784" s="2391"/>
      <c r="R784" s="2391"/>
      <c r="S784" s="2391"/>
      <c r="T784" s="2391"/>
      <c r="U784" s="2391"/>
      <c r="V784" s="2391"/>
      <c r="W784" s="2391"/>
      <c r="X784" s="2391"/>
      <c r="Y784" s="2391"/>
      <c r="Z784" s="2391"/>
      <c r="AA784" s="2391"/>
      <c r="AB784" s="2391"/>
      <c r="AC784" s="2391"/>
      <c r="AD784" s="2391"/>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91"/>
      <c r="F785" s="2391"/>
      <c r="G785" s="2391"/>
      <c r="H785" s="2391"/>
      <c r="I785" s="2391"/>
      <c r="J785" s="2391"/>
      <c r="K785" s="2391"/>
      <c r="L785" s="2391"/>
      <c r="M785" s="2391"/>
      <c r="N785" s="2391"/>
      <c r="O785" s="2391"/>
      <c r="P785" s="2391"/>
      <c r="Q785" s="2391"/>
      <c r="R785" s="2391"/>
      <c r="S785" s="2391"/>
      <c r="T785" s="2391"/>
      <c r="U785" s="2391"/>
      <c r="V785" s="2391"/>
      <c r="W785" s="2391"/>
      <c r="X785" s="2391"/>
      <c r="Y785" s="2391"/>
      <c r="Z785" s="2391"/>
      <c r="AA785" s="2391"/>
      <c r="AB785" s="2391"/>
      <c r="AC785" s="2391"/>
      <c r="AD785" s="2391"/>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2" t="s">
        <v>1685</v>
      </c>
      <c r="F787" s="2532"/>
      <c r="G787" s="2532"/>
      <c r="H787" s="2532"/>
      <c r="I787" s="2532"/>
      <c r="J787" s="2532"/>
      <c r="K787" s="2532"/>
      <c r="L787" s="2532"/>
      <c r="M787" s="2532"/>
      <c r="N787" s="2532"/>
      <c r="O787" s="2532"/>
      <c r="P787" s="2532"/>
      <c r="Q787" s="2532"/>
      <c r="R787" s="2532"/>
      <c r="S787" s="2532"/>
      <c r="T787" s="2532"/>
      <c r="U787" s="2532"/>
      <c r="V787" s="2532"/>
      <c r="W787" s="2532"/>
      <c r="X787" s="2532"/>
      <c r="Y787" s="2532"/>
      <c r="Z787" s="2532"/>
      <c r="AA787" s="2532"/>
      <c r="AB787" s="2532"/>
      <c r="AC787" s="2532"/>
      <c r="AD787" s="2532"/>
      <c r="AE787" s="536"/>
      <c r="AF787" s="2392" t="s">
        <v>1345</v>
      </c>
      <c r="AG787" s="2392"/>
      <c r="AH787" s="2392"/>
      <c r="AI787" s="2392"/>
      <c r="AJ787" s="2392"/>
      <c r="AK787" s="2392"/>
      <c r="AL787" s="2392"/>
      <c r="AM787" s="611"/>
      <c r="AN787" s="595"/>
    </row>
    <row r="788" spans="1:81" s="549" customFormat="1" ht="12.75" customHeight="1">
      <c r="B788" s="614"/>
      <c r="C788" s="936"/>
      <c r="D788" s="659"/>
      <c r="E788" s="2532"/>
      <c r="F788" s="2532"/>
      <c r="G788" s="2532"/>
      <c r="H788" s="2532"/>
      <c r="I788" s="2532"/>
      <c r="J788" s="2532"/>
      <c r="K788" s="2532"/>
      <c r="L788" s="2532"/>
      <c r="M788" s="2532"/>
      <c r="N788" s="2532"/>
      <c r="O788" s="2532"/>
      <c r="P788" s="2532"/>
      <c r="Q788" s="2532"/>
      <c r="R788" s="2532"/>
      <c r="S788" s="2532"/>
      <c r="T788" s="2532"/>
      <c r="U788" s="2532"/>
      <c r="V788" s="2532"/>
      <c r="W788" s="2532"/>
      <c r="X788" s="2532"/>
      <c r="Y788" s="2532"/>
      <c r="Z788" s="2532"/>
      <c r="AA788" s="2532"/>
      <c r="AB788" s="2532"/>
      <c r="AC788" s="2532"/>
      <c r="AD788" s="2532"/>
      <c r="AE788" s="592"/>
      <c r="AF788" s="592"/>
      <c r="AG788" s="592"/>
      <c r="AH788" s="592"/>
      <c r="AI788" s="592"/>
      <c r="AJ788" s="592"/>
      <c r="AK788" s="592"/>
      <c r="AL788" s="592"/>
      <c r="AM788" s="611"/>
      <c r="AN788" s="595"/>
    </row>
    <row r="789" spans="1:81" s="549" customFormat="1" ht="12.75" customHeight="1">
      <c r="B789" s="614"/>
      <c r="C789" s="936"/>
      <c r="D789" s="659"/>
      <c r="E789" s="2532"/>
      <c r="F789" s="2532"/>
      <c r="G789" s="2532"/>
      <c r="H789" s="2532"/>
      <c r="I789" s="2532"/>
      <c r="J789" s="2532"/>
      <c r="K789" s="2532"/>
      <c r="L789" s="2532"/>
      <c r="M789" s="2532"/>
      <c r="N789" s="2532"/>
      <c r="O789" s="2532"/>
      <c r="P789" s="2532"/>
      <c r="Q789" s="2532"/>
      <c r="R789" s="2532"/>
      <c r="S789" s="2532"/>
      <c r="T789" s="2532"/>
      <c r="U789" s="2532"/>
      <c r="V789" s="2532"/>
      <c r="W789" s="2532"/>
      <c r="X789" s="2532"/>
      <c r="Y789" s="2532"/>
      <c r="Z789" s="2532"/>
      <c r="AA789" s="2532"/>
      <c r="AB789" s="2532"/>
      <c r="AC789" s="2532"/>
      <c r="AD789" s="2532"/>
      <c r="AE789" s="592"/>
      <c r="AF789" s="592"/>
      <c r="AG789" s="592"/>
      <c r="AH789" s="592"/>
      <c r="AI789" s="592"/>
      <c r="AJ789" s="592"/>
      <c r="AK789" s="592"/>
      <c r="AL789" s="592"/>
      <c r="AM789" s="611"/>
      <c r="AN789" s="595"/>
    </row>
    <row r="790" spans="1:81" s="549" customFormat="1" ht="12.75" customHeight="1">
      <c r="B790" s="614"/>
      <c r="C790" s="936"/>
      <c r="D790" s="659"/>
      <c r="E790" s="2532"/>
      <c r="F790" s="2532"/>
      <c r="G790" s="2532"/>
      <c r="H790" s="2532"/>
      <c r="I790" s="2532"/>
      <c r="J790" s="2532"/>
      <c r="K790" s="2532"/>
      <c r="L790" s="2532"/>
      <c r="M790" s="2532"/>
      <c r="N790" s="2532"/>
      <c r="O790" s="2532"/>
      <c r="P790" s="2532"/>
      <c r="Q790" s="2532"/>
      <c r="R790" s="2532"/>
      <c r="S790" s="2532"/>
      <c r="T790" s="2532"/>
      <c r="U790" s="2532"/>
      <c r="V790" s="2532"/>
      <c r="W790" s="2532"/>
      <c r="X790" s="2532"/>
      <c r="Y790" s="2532"/>
      <c r="Z790" s="2532"/>
      <c r="AA790" s="2532"/>
      <c r="AB790" s="2532"/>
      <c r="AC790" s="2532"/>
      <c r="AD790" s="253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3" t="s">
        <v>591</v>
      </c>
      <c r="I792" s="2393"/>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4">
        <f>VLOOKUP($H$792,$AO$782:$AP$784,2,FALSE)</f>
        <v>0</v>
      </c>
      <c r="AK794" s="2395"/>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91" t="s">
        <v>2639</v>
      </c>
      <c r="F798" s="2391"/>
      <c r="G798" s="2391"/>
      <c r="H798" s="2391"/>
      <c r="I798" s="2391"/>
      <c r="J798" s="2391"/>
      <c r="K798" s="2391"/>
      <c r="L798" s="2391"/>
      <c r="M798" s="2391"/>
      <c r="N798" s="2391"/>
      <c r="O798" s="2391"/>
      <c r="P798" s="2391"/>
      <c r="Q798" s="2391"/>
      <c r="R798" s="2391"/>
      <c r="S798" s="2391"/>
      <c r="T798" s="2391"/>
      <c r="U798" s="2391"/>
      <c r="V798" s="2391"/>
      <c r="W798" s="2391"/>
      <c r="X798" s="2391"/>
      <c r="Y798" s="2391"/>
      <c r="Z798" s="2391"/>
      <c r="AA798" s="2391"/>
      <c r="AB798" s="2391"/>
      <c r="AC798" s="2391"/>
      <c r="AD798" s="2391"/>
      <c r="AE798" s="536"/>
      <c r="AF798" s="2392" t="s">
        <v>1345</v>
      </c>
      <c r="AG798" s="2392"/>
      <c r="AH798" s="2392"/>
      <c r="AI798" s="2392"/>
      <c r="AJ798" s="2392"/>
      <c r="AK798" s="2392"/>
      <c r="AL798" s="2392"/>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91"/>
      <c r="F799" s="2391"/>
      <c r="G799" s="2391"/>
      <c r="H799" s="2391"/>
      <c r="I799" s="2391"/>
      <c r="J799" s="2391"/>
      <c r="K799" s="2391"/>
      <c r="L799" s="2391"/>
      <c r="M799" s="2391"/>
      <c r="N799" s="2391"/>
      <c r="O799" s="2391"/>
      <c r="P799" s="2391"/>
      <c r="Q799" s="2391"/>
      <c r="R799" s="2391"/>
      <c r="S799" s="2391"/>
      <c r="T799" s="2391"/>
      <c r="U799" s="2391"/>
      <c r="V799" s="2391"/>
      <c r="W799" s="2391"/>
      <c r="X799" s="2391"/>
      <c r="Y799" s="2391"/>
      <c r="Z799" s="2391"/>
      <c r="AA799" s="2391"/>
      <c r="AB799" s="2391"/>
      <c r="AC799" s="2391"/>
      <c r="AD799" s="2391"/>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1"/>
      <c r="F800" s="2391"/>
      <c r="G800" s="2391"/>
      <c r="H800" s="2391"/>
      <c r="I800" s="2391"/>
      <c r="J800" s="2391"/>
      <c r="K800" s="2391"/>
      <c r="L800" s="2391"/>
      <c r="M800" s="2391"/>
      <c r="N800" s="2391"/>
      <c r="O800" s="2391"/>
      <c r="P800" s="2391"/>
      <c r="Q800" s="2391"/>
      <c r="R800" s="2391"/>
      <c r="S800" s="2391"/>
      <c r="T800" s="2391"/>
      <c r="U800" s="2391"/>
      <c r="V800" s="2391"/>
      <c r="W800" s="2391"/>
      <c r="X800" s="2391"/>
      <c r="Y800" s="2391"/>
      <c r="Z800" s="2391"/>
      <c r="AA800" s="2391"/>
      <c r="AB800" s="2391"/>
      <c r="AC800" s="2391"/>
      <c r="AD800" s="2391"/>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1"/>
      <c r="F801" s="2391"/>
      <c r="G801" s="2391"/>
      <c r="H801" s="2391"/>
      <c r="I801" s="2391"/>
      <c r="J801" s="2391"/>
      <c r="K801" s="2391"/>
      <c r="L801" s="2391"/>
      <c r="M801" s="2391"/>
      <c r="N801" s="2391"/>
      <c r="O801" s="2391"/>
      <c r="P801" s="2391"/>
      <c r="Q801" s="2391"/>
      <c r="R801" s="2391"/>
      <c r="S801" s="2391"/>
      <c r="T801" s="2391"/>
      <c r="U801" s="2391"/>
      <c r="V801" s="2391"/>
      <c r="W801" s="2391"/>
      <c r="X801" s="2391"/>
      <c r="Y801" s="2391"/>
      <c r="Z801" s="2391"/>
      <c r="AA801" s="2391"/>
      <c r="AB801" s="2391"/>
      <c r="AC801" s="2391"/>
      <c r="AD801" s="2391"/>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93" t="s">
        <v>591</v>
      </c>
      <c r="I803" s="2393"/>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4">
        <f>VLOOKUP($H$803,$AO$797:$AP$798,2,FALSE)</f>
        <v>0</v>
      </c>
      <c r="AK805" s="239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91" t="s">
        <v>2601</v>
      </c>
      <c r="F809" s="2391"/>
      <c r="G809" s="2391"/>
      <c r="H809" s="2391"/>
      <c r="I809" s="2391"/>
      <c r="J809" s="2391"/>
      <c r="K809" s="2391"/>
      <c r="L809" s="2391"/>
      <c r="M809" s="2391"/>
      <c r="N809" s="2391"/>
      <c r="O809" s="2391"/>
      <c r="P809" s="2391"/>
      <c r="Q809" s="2391"/>
      <c r="R809" s="2391"/>
      <c r="S809" s="2391"/>
      <c r="T809" s="2391"/>
      <c r="U809" s="2391"/>
      <c r="V809" s="2391"/>
      <c r="W809" s="2391"/>
      <c r="X809" s="2391"/>
      <c r="Y809" s="2391"/>
      <c r="Z809" s="2391"/>
      <c r="AA809" s="2391"/>
      <c r="AB809" s="2391"/>
      <c r="AC809" s="2391"/>
      <c r="AD809" s="2391"/>
      <c r="AE809" s="550"/>
      <c r="AF809" s="2392" t="s">
        <v>1370</v>
      </c>
      <c r="AG809" s="2392"/>
      <c r="AH809" s="2392"/>
      <c r="AI809" s="2392"/>
      <c r="AJ809" s="2392"/>
      <c r="AK809" s="2392"/>
      <c r="AL809" s="2392"/>
      <c r="AN809" s="595"/>
    </row>
    <row r="810" spans="1:81" s="549" customFormat="1" ht="12.75" customHeight="1">
      <c r="B810" s="614"/>
      <c r="C810" s="684"/>
      <c r="D810" s="659"/>
      <c r="E810" s="2391"/>
      <c r="F810" s="2391"/>
      <c r="G810" s="2391"/>
      <c r="H810" s="2391"/>
      <c r="I810" s="2391"/>
      <c r="J810" s="2391"/>
      <c r="K810" s="2391"/>
      <c r="L810" s="2391"/>
      <c r="M810" s="2391"/>
      <c r="N810" s="2391"/>
      <c r="O810" s="2391"/>
      <c r="P810" s="2391"/>
      <c r="Q810" s="2391"/>
      <c r="R810" s="2391"/>
      <c r="S810" s="2391"/>
      <c r="T810" s="2391"/>
      <c r="U810" s="2391"/>
      <c r="V810" s="2391"/>
      <c r="W810" s="2391"/>
      <c r="X810" s="2391"/>
      <c r="Y810" s="2391"/>
      <c r="Z810" s="2391"/>
      <c r="AA810" s="2391"/>
      <c r="AB810" s="2391"/>
      <c r="AC810" s="2391"/>
      <c r="AD810" s="2391"/>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93" t="s">
        <v>591</v>
      </c>
      <c r="I812" s="2393"/>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2602</v>
      </c>
      <c r="AJ814" s="2394">
        <f>IF(H812="Yes",5,0)</f>
        <v>0</v>
      </c>
      <c r="AK814" s="239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4">
        <f>IF(($AJ$634+$AJ$653+$AJ$665+$AJ$700+$AJ$724+$AJ$738+$AJ$750+$AJ$766+$AJ$778+$AJ$794+AJ805+AJ814)&gt;10,10,($AJ$634+$AJ$653+$AJ$665+$AJ$700+$AJ$724+$AJ$738+$AJ$750+$AJ$766+$AJ$778+$AJ$794+AJ805+AJ814))</f>
        <v>10</v>
      </c>
      <c r="AL816" s="2440"/>
      <c r="AM816" s="239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1" t="s">
        <v>1557</v>
      </c>
      <c r="B819" s="2522"/>
      <c r="C819" s="2522"/>
      <c r="D819" s="2522"/>
      <c r="E819" s="2522"/>
      <c r="F819" s="2522"/>
      <c r="G819" s="2522"/>
      <c r="H819" s="2522"/>
      <c r="I819" s="2522"/>
      <c r="J819" s="2522"/>
      <c r="K819" s="2522"/>
      <c r="L819" s="2522"/>
      <c r="M819" s="2522"/>
      <c r="N819" s="2522"/>
      <c r="O819" s="2522"/>
      <c r="P819" s="2522"/>
      <c r="Q819" s="2522"/>
      <c r="R819" s="2522"/>
      <c r="S819" s="2522"/>
      <c r="T819" s="2522"/>
      <c r="U819" s="2522"/>
      <c r="V819" s="2522"/>
      <c r="W819" s="2522"/>
      <c r="X819" s="2522"/>
      <c r="Y819" s="2522"/>
      <c r="Z819" s="2522"/>
      <c r="AA819" s="2522"/>
      <c r="AB819" s="2522"/>
      <c r="AC819" s="2522"/>
      <c r="AD819" s="2522"/>
      <c r="AE819" s="2522"/>
      <c r="AF819" s="2522"/>
      <c r="AG819" s="2522"/>
      <c r="AH819" s="2522"/>
      <c r="AI819" s="2522"/>
      <c r="AJ819" s="2522"/>
      <c r="AK819" s="2522"/>
      <c r="AL819" s="2522"/>
      <c r="AM819" s="2522"/>
    </row>
    <row r="820" spans="1:43">
      <c r="A820" s="2523"/>
      <c r="B820" s="2523"/>
      <c r="C820" s="2523"/>
      <c r="D820" s="2523"/>
      <c r="E820" s="2523"/>
      <c r="F820" s="2523"/>
      <c r="G820" s="2523"/>
      <c r="H820" s="2523"/>
      <c r="I820" s="2523"/>
      <c r="J820" s="2523"/>
      <c r="K820" s="2523"/>
      <c r="L820" s="2523"/>
      <c r="M820" s="2523"/>
      <c r="N820" s="2523"/>
      <c r="O820" s="2523"/>
      <c r="P820" s="2523"/>
      <c r="Q820" s="2523"/>
      <c r="R820" s="2523"/>
      <c r="S820" s="2523"/>
      <c r="T820" s="2523"/>
      <c r="U820" s="2523"/>
      <c r="V820" s="2523"/>
      <c r="W820" s="2523"/>
      <c r="X820" s="2523"/>
      <c r="Y820" s="2523"/>
      <c r="Z820" s="2523"/>
      <c r="AA820" s="2523"/>
      <c r="AB820" s="2523"/>
      <c r="AC820" s="2523"/>
      <c r="AD820" s="2523"/>
      <c r="AE820" s="2523"/>
      <c r="AF820" s="2523"/>
      <c r="AG820" s="2523"/>
      <c r="AH820" s="2523"/>
      <c r="AI820" s="2523"/>
      <c r="AJ820" s="2523"/>
      <c r="AK820" s="2523"/>
      <c r="AL820" s="2523"/>
      <c r="AM820" s="2523"/>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7"/>
      <c r="B822" s="2467"/>
      <c r="C822" s="2467"/>
      <c r="D822" s="2467"/>
      <c r="E822" s="2467"/>
      <c r="F822" s="2467"/>
      <c r="G822" s="2467"/>
      <c r="H822" s="2467"/>
      <c r="I822" s="2467"/>
      <c r="J822" s="2467"/>
      <c r="K822" s="2467"/>
      <c r="L822" s="2467"/>
      <c r="M822" s="2467"/>
      <c r="N822" s="2467"/>
      <c r="O822" s="2467"/>
      <c r="P822" s="2467"/>
      <c r="Q822" s="2467"/>
      <c r="R822" s="2467"/>
      <c r="S822" s="2467"/>
      <c r="T822" s="2467"/>
      <c r="U822" s="2467"/>
      <c r="V822" s="2467"/>
      <c r="W822" s="2467"/>
      <c r="X822" s="2467"/>
      <c r="Y822" s="2467"/>
      <c r="Z822" s="2467"/>
      <c r="AA822" s="2467"/>
      <c r="AB822" s="2467"/>
      <c r="AC822" s="2467"/>
      <c r="AD822" s="2467"/>
      <c r="AE822" s="2467"/>
      <c r="AF822" s="2467"/>
      <c r="AG822" s="2467"/>
      <c r="AH822" s="2467"/>
      <c r="AI822" s="2467"/>
      <c r="AJ822" s="2467"/>
      <c r="AK822" s="2467"/>
      <c r="AL822" s="2467"/>
      <c r="AM822" s="2467"/>
      <c r="AP822" s="812"/>
      <c r="AQ822" s="812"/>
    </row>
    <row r="823" spans="1:43">
      <c r="A823" s="2467"/>
      <c r="B823" s="2467"/>
      <c r="C823" s="2467"/>
      <c r="D823" s="2467"/>
      <c r="E823" s="2467"/>
      <c r="F823" s="2467"/>
      <c r="G823" s="2467"/>
      <c r="H823" s="2467"/>
      <c r="I823" s="2467"/>
      <c r="J823" s="2467"/>
      <c r="K823" s="2467"/>
      <c r="L823" s="2467"/>
      <c r="M823" s="2467"/>
      <c r="N823" s="2467"/>
      <c r="O823" s="2467"/>
      <c r="P823" s="2467"/>
      <c r="Q823" s="2467"/>
      <c r="R823" s="2467"/>
      <c r="S823" s="2467"/>
      <c r="T823" s="2467"/>
      <c r="U823" s="2467"/>
      <c r="V823" s="2467"/>
      <c r="W823" s="2467"/>
      <c r="X823" s="2467"/>
      <c r="Y823" s="2467"/>
      <c r="Z823" s="2467"/>
      <c r="AA823" s="2467"/>
      <c r="AB823" s="2467"/>
      <c r="AC823" s="2467"/>
      <c r="AD823" s="2467"/>
      <c r="AE823" s="2467"/>
      <c r="AF823" s="2467"/>
      <c r="AG823" s="2467"/>
      <c r="AH823" s="2467"/>
      <c r="AI823" s="2467"/>
      <c r="AJ823" s="2467"/>
      <c r="AK823" s="2467"/>
      <c r="AL823" s="2467"/>
      <c r="AM823" s="2467"/>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4" t="s">
        <v>1558</v>
      </c>
      <c r="U824" s="2525"/>
      <c r="V824" s="2525"/>
      <c r="W824" s="2525"/>
      <c r="X824" s="2525"/>
      <c r="Y824" s="2526"/>
      <c r="Z824" s="2524" t="s">
        <v>1559</v>
      </c>
      <c r="AA824" s="2525"/>
      <c r="AB824" s="2525"/>
      <c r="AC824" s="2525"/>
      <c r="AD824" s="2525"/>
      <c r="AE824" s="2526"/>
      <c r="AF824" s="2524" t="s">
        <v>1560</v>
      </c>
      <c r="AG824" s="2525"/>
      <c r="AH824" s="2525"/>
      <c r="AI824" s="2525"/>
      <c r="AJ824" s="2525"/>
      <c r="AK824" s="2526"/>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7"/>
      <c r="U825" s="2528"/>
      <c r="V825" s="2528"/>
      <c r="W825" s="2528"/>
      <c r="X825" s="2528"/>
      <c r="Y825" s="2529"/>
      <c r="Z825" s="2527"/>
      <c r="AA825" s="2528"/>
      <c r="AB825" s="2528"/>
      <c r="AC825" s="2528"/>
      <c r="AD825" s="2528"/>
      <c r="AE825" s="2529"/>
      <c r="AF825" s="2527"/>
      <c r="AG825" s="2528"/>
      <c r="AH825" s="2528"/>
      <c r="AI825" s="2528"/>
      <c r="AJ825" s="2528"/>
      <c r="AK825" s="2529"/>
      <c r="AL825" s="814"/>
      <c r="AM825" s="594"/>
      <c r="AO825" s="812"/>
      <c r="AP825" s="812"/>
      <c r="AQ825" s="812"/>
    </row>
    <row r="826" spans="1:43">
      <c r="A826" s="815" t="s">
        <v>757</v>
      </c>
      <c r="B826" s="2482" t="str">
        <f>B7</f>
        <v xml:space="preserve">Acquisition/Rehabilitation Project Priorities </v>
      </c>
      <c r="C826" s="2482"/>
      <c r="D826" s="2482"/>
      <c r="E826" s="2482"/>
      <c r="F826" s="2482"/>
      <c r="G826" s="2482"/>
      <c r="H826" s="2482"/>
      <c r="I826" s="2482"/>
      <c r="J826" s="2482"/>
      <c r="K826" s="2482"/>
      <c r="L826" s="2482"/>
      <c r="M826" s="2482"/>
      <c r="N826" s="2482"/>
      <c r="O826" s="2482"/>
      <c r="P826" s="2482"/>
      <c r="Q826" s="2482"/>
      <c r="R826" s="2482"/>
      <c r="S826" s="2483"/>
      <c r="T826" s="2509">
        <f>AK61</f>
        <v>0</v>
      </c>
      <c r="U826" s="2486"/>
      <c r="V826" s="2486"/>
      <c r="W826" s="2486"/>
      <c r="X826" s="2486"/>
      <c r="Y826" s="2487"/>
      <c r="Z826" s="2485">
        <v>20</v>
      </c>
      <c r="AA826" s="2486"/>
      <c r="AB826" s="2486"/>
      <c r="AC826" s="2486"/>
      <c r="AD826" s="2486"/>
      <c r="AE826" s="2487"/>
      <c r="AF826" s="2465">
        <f>IF(T826&gt;Z826,Z826,T826)</f>
        <v>0</v>
      </c>
      <c r="AG826" s="2465"/>
      <c r="AH826" s="2465"/>
      <c r="AI826" s="2465"/>
      <c r="AJ826" s="2465"/>
      <c r="AK826" s="2465"/>
      <c r="AL826" s="814"/>
      <c r="AM826" s="594"/>
      <c r="AO826" s="812"/>
      <c r="AP826" s="812"/>
      <c r="AQ826" s="812"/>
    </row>
    <row r="827" spans="1:43">
      <c r="A827" s="815" t="s">
        <v>1531</v>
      </c>
      <c r="B827" s="2482" t="s">
        <v>1306</v>
      </c>
      <c r="C827" s="2482"/>
      <c r="D827" s="2482"/>
      <c r="E827" s="2482"/>
      <c r="F827" s="2482"/>
      <c r="G827" s="2482"/>
      <c r="H827" s="2482"/>
      <c r="I827" s="2482"/>
      <c r="J827" s="2482"/>
      <c r="K827" s="2482"/>
      <c r="L827" s="2482"/>
      <c r="M827" s="2482"/>
      <c r="N827" s="2482"/>
      <c r="O827" s="2482"/>
      <c r="P827" s="2482"/>
      <c r="Q827" s="2482"/>
      <c r="R827" s="2482"/>
      <c r="S827" s="2483"/>
      <c r="T827" s="2509">
        <f>AK83</f>
        <v>10</v>
      </c>
      <c r="U827" s="2486"/>
      <c r="V827" s="2486"/>
      <c r="W827" s="2486"/>
      <c r="X827" s="2486"/>
      <c r="Y827" s="2487"/>
      <c r="Z827" s="2485">
        <v>10</v>
      </c>
      <c r="AA827" s="2486"/>
      <c r="AB827" s="2486"/>
      <c r="AC827" s="2486"/>
      <c r="AD827" s="2486"/>
      <c r="AE827" s="2487"/>
      <c r="AF827" s="2465">
        <f>IF(T827&gt;Z827,Z827,T827)</f>
        <v>10</v>
      </c>
      <c r="AG827" s="2465"/>
      <c r="AH827" s="2465"/>
      <c r="AI827" s="2465"/>
      <c r="AJ827" s="2465"/>
      <c r="AK827" s="2465"/>
      <c r="AL827" s="814"/>
      <c r="AM827" s="594"/>
      <c r="AO827" s="812"/>
      <c r="AP827" s="812"/>
      <c r="AQ827" s="812"/>
    </row>
    <row r="828" spans="1:43">
      <c r="A828" s="815" t="s">
        <v>1540</v>
      </c>
      <c r="B828" s="2482" t="s">
        <v>1316</v>
      </c>
      <c r="C828" s="2482"/>
      <c r="D828" s="2482"/>
      <c r="E828" s="2482"/>
      <c r="F828" s="2482"/>
      <c r="G828" s="2482"/>
      <c r="H828" s="2482"/>
      <c r="I828" s="2482"/>
      <c r="J828" s="2482"/>
      <c r="K828" s="2482"/>
      <c r="L828" s="2482"/>
      <c r="M828" s="2482"/>
      <c r="N828" s="2482"/>
      <c r="O828" s="2482"/>
      <c r="P828" s="2482"/>
      <c r="Q828" s="2482"/>
      <c r="R828" s="2482"/>
      <c r="S828" s="2483"/>
      <c r="T828" s="2509">
        <f ca="1">AK108</f>
        <v>20</v>
      </c>
      <c r="U828" s="2486"/>
      <c r="V828" s="2486"/>
      <c r="W828" s="2486"/>
      <c r="X828" s="2486"/>
      <c r="Y828" s="2487"/>
      <c r="Z828" s="2485">
        <v>20</v>
      </c>
      <c r="AA828" s="2486"/>
      <c r="AB828" s="2486"/>
      <c r="AC828" s="2486"/>
      <c r="AD828" s="2486"/>
      <c r="AE828" s="2487"/>
      <c r="AF828" s="2465">
        <f ca="1">IF(T828&gt;Z828,Z828,T828)</f>
        <v>20</v>
      </c>
      <c r="AG828" s="2465"/>
      <c r="AH828" s="2465"/>
      <c r="AI828" s="2465"/>
      <c r="AJ828" s="2465"/>
      <c r="AK828" s="2465"/>
      <c r="AL828" s="814"/>
      <c r="AM828" s="594"/>
      <c r="AO828" s="812"/>
      <c r="AP828" s="812"/>
      <c r="AQ828" s="812"/>
    </row>
    <row r="829" spans="1:43">
      <c r="A829" s="815" t="s">
        <v>1561</v>
      </c>
      <c r="B829" s="2482" t="s">
        <v>1326</v>
      </c>
      <c r="C829" s="2482"/>
      <c r="D829" s="2482"/>
      <c r="E829" s="2482"/>
      <c r="F829" s="2482"/>
      <c r="G829" s="2482"/>
      <c r="H829" s="2482"/>
      <c r="I829" s="2482"/>
      <c r="J829" s="2482"/>
      <c r="K829" s="2482"/>
      <c r="L829" s="2482"/>
      <c r="M829" s="2482"/>
      <c r="N829" s="2482"/>
      <c r="O829" s="2482"/>
      <c r="P829" s="2482"/>
      <c r="Q829" s="2482"/>
      <c r="R829" s="2482"/>
      <c r="S829" s="2483"/>
      <c r="T829" s="2509">
        <f>AK142</f>
        <v>10</v>
      </c>
      <c r="U829" s="2486"/>
      <c r="V829" s="2486"/>
      <c r="W829" s="2486"/>
      <c r="X829" s="2486"/>
      <c r="Y829" s="2487"/>
      <c r="Z829" s="2485">
        <v>10</v>
      </c>
      <c r="AA829" s="2486"/>
      <c r="AB829" s="2486"/>
      <c r="AC829" s="2486"/>
      <c r="AD829" s="2486"/>
      <c r="AE829" s="2487"/>
      <c r="AF829" s="2465">
        <f>IF(T829&gt;Z829,Z829,T829)</f>
        <v>10</v>
      </c>
      <c r="AG829" s="2465"/>
      <c r="AH829" s="2465"/>
      <c r="AI829" s="2465"/>
      <c r="AJ829" s="2465"/>
      <c r="AK829" s="2465"/>
      <c r="AL829" s="814"/>
      <c r="AM829" s="594"/>
      <c r="AO829" s="812"/>
      <c r="AP829" s="812"/>
      <c r="AQ829" s="812"/>
    </row>
    <row r="830" spans="1:43">
      <c r="A830" s="816" t="s">
        <v>1562</v>
      </c>
      <c r="B830" s="2482" t="s">
        <v>1563</v>
      </c>
      <c r="C830" s="2482"/>
      <c r="D830" s="2482"/>
      <c r="E830" s="2482"/>
      <c r="F830" s="2482"/>
      <c r="G830" s="2482"/>
      <c r="H830" s="2482"/>
      <c r="I830" s="2482"/>
      <c r="J830" s="2482"/>
      <c r="K830" s="2482"/>
      <c r="L830" s="2482"/>
      <c r="M830" s="2482"/>
      <c r="N830" s="2482"/>
      <c r="O830" s="2482"/>
      <c r="P830" s="2482"/>
      <c r="Q830" s="2482"/>
      <c r="R830" s="2482"/>
      <c r="S830" s="2483"/>
      <c r="T830" s="2484">
        <f>SUM(T831:Y832)</f>
        <v>10</v>
      </c>
      <c r="U830" s="2484"/>
      <c r="V830" s="2484"/>
      <c r="W830" s="2484"/>
      <c r="X830" s="2484"/>
      <c r="Y830" s="2484"/>
      <c r="Z830" s="2465">
        <v>10</v>
      </c>
      <c r="AA830" s="2465"/>
      <c r="AB830" s="2465"/>
      <c r="AC830" s="2465"/>
      <c r="AD830" s="2465"/>
      <c r="AE830" s="2465"/>
      <c r="AF830" s="2465">
        <f>IF(T830&gt;Z830,Z830,T830)</f>
        <v>10</v>
      </c>
      <c r="AG830" s="2465"/>
      <c r="AH830" s="2465"/>
      <c r="AI830" s="2465"/>
      <c r="AJ830" s="2465"/>
      <c r="AK830" s="2465"/>
      <c r="AL830" s="814"/>
      <c r="AM830" s="594"/>
    </row>
    <row r="831" spans="1:43">
      <c r="A831" s="535"/>
      <c r="B831" s="599"/>
      <c r="C831" s="2488" t="s">
        <v>1564</v>
      </c>
      <c r="D831" s="2488"/>
      <c r="E831" s="2488"/>
      <c r="F831" s="2488"/>
      <c r="G831" s="2488"/>
      <c r="H831" s="2488"/>
      <c r="I831" s="2488"/>
      <c r="J831" s="2488"/>
      <c r="K831" s="2488"/>
      <c r="L831" s="2488"/>
      <c r="M831" s="2488"/>
      <c r="N831" s="2488"/>
      <c r="O831" s="2488"/>
      <c r="P831" s="2488"/>
      <c r="Q831" s="2488"/>
      <c r="R831" s="2488"/>
      <c r="S831" s="2489"/>
      <c r="T831" s="2490">
        <f>AJ165</f>
        <v>7</v>
      </c>
      <c r="U831" s="2490"/>
      <c r="V831" s="2490"/>
      <c r="W831" s="2490"/>
      <c r="X831" s="2490"/>
      <c r="Y831" s="2490"/>
      <c r="Z831" s="2491">
        <v>7</v>
      </c>
      <c r="AA831" s="2491"/>
      <c r="AB831" s="2491"/>
      <c r="AC831" s="2491"/>
      <c r="AD831" s="2491"/>
      <c r="AE831" s="2491"/>
      <c r="AF831" s="2492"/>
      <c r="AG831" s="2492"/>
      <c r="AH831" s="2492"/>
      <c r="AI831" s="2492"/>
      <c r="AJ831" s="2492"/>
      <c r="AK831" s="2492"/>
      <c r="AL831" s="814"/>
      <c r="AM831" s="594"/>
    </row>
    <row r="832" spans="1:43">
      <c r="A832" s="598"/>
      <c r="B832" s="599"/>
      <c r="C832" s="2488" t="s">
        <v>1565</v>
      </c>
      <c r="D832" s="2488"/>
      <c r="E832" s="2488"/>
      <c r="F832" s="2488"/>
      <c r="G832" s="2488"/>
      <c r="H832" s="2488"/>
      <c r="I832" s="2488"/>
      <c r="J832" s="2488"/>
      <c r="K832" s="2488"/>
      <c r="L832" s="2488"/>
      <c r="M832" s="2488"/>
      <c r="N832" s="2488"/>
      <c r="O832" s="2488"/>
      <c r="P832" s="2488"/>
      <c r="Q832" s="2488"/>
      <c r="R832" s="2488"/>
      <c r="S832" s="2489"/>
      <c r="T832" s="2490">
        <f>AJ179</f>
        <v>3</v>
      </c>
      <c r="U832" s="2490"/>
      <c r="V832" s="2490"/>
      <c r="W832" s="2490"/>
      <c r="X832" s="2490"/>
      <c r="Y832" s="2490"/>
      <c r="Z832" s="2491">
        <v>3</v>
      </c>
      <c r="AA832" s="2491"/>
      <c r="AB832" s="2491"/>
      <c r="AC832" s="2491"/>
      <c r="AD832" s="2491"/>
      <c r="AE832" s="2491"/>
      <c r="AF832" s="2492"/>
      <c r="AG832" s="2492"/>
      <c r="AH832" s="2492"/>
      <c r="AI832" s="2492"/>
      <c r="AJ832" s="2492"/>
      <c r="AK832" s="2492"/>
      <c r="AL832" s="814"/>
      <c r="AM832" s="594"/>
      <c r="AO832" s="549"/>
    </row>
    <row r="833" spans="1:81">
      <c r="A833" s="816" t="s">
        <v>1354</v>
      </c>
      <c r="B833" s="2482" t="s">
        <v>1566</v>
      </c>
      <c r="C833" s="2482"/>
      <c r="D833" s="2482"/>
      <c r="E833" s="2482"/>
      <c r="F833" s="2482"/>
      <c r="G833" s="2482"/>
      <c r="H833" s="2482"/>
      <c r="I833" s="2482"/>
      <c r="J833" s="2482"/>
      <c r="K833" s="2482"/>
      <c r="L833" s="2482"/>
      <c r="M833" s="2482"/>
      <c r="N833" s="2482"/>
      <c r="O833" s="2482"/>
      <c r="P833" s="2482"/>
      <c r="Q833" s="2482"/>
      <c r="R833" s="2482"/>
      <c r="S833" s="2483"/>
      <c r="T833" s="2484">
        <f>AK190</f>
        <v>10</v>
      </c>
      <c r="U833" s="2484"/>
      <c r="V833" s="2484"/>
      <c r="W833" s="2484"/>
      <c r="X833" s="2484"/>
      <c r="Y833" s="2484"/>
      <c r="Z833" s="2465">
        <v>10</v>
      </c>
      <c r="AA833" s="2465"/>
      <c r="AB833" s="2465"/>
      <c r="AC833" s="2465"/>
      <c r="AD833" s="2465"/>
      <c r="AE833" s="2465"/>
      <c r="AF833" s="2465">
        <f>IF(T833&gt;Z833,Z833,T833)</f>
        <v>10</v>
      </c>
      <c r="AG833" s="2465"/>
      <c r="AH833" s="2465"/>
      <c r="AI833" s="2465"/>
      <c r="AJ833" s="2465"/>
      <c r="AK833" s="2465"/>
      <c r="AL833" s="814"/>
      <c r="AM833" s="594"/>
    </row>
    <row r="834" spans="1:81" hidden="1">
      <c r="A834" s="815" t="s">
        <v>1362</v>
      </c>
      <c r="B834" s="2482" t="s">
        <v>1363</v>
      </c>
      <c r="C834" s="2482"/>
      <c r="D834" s="2482"/>
      <c r="E834" s="2482"/>
      <c r="F834" s="2482"/>
      <c r="G834" s="2482"/>
      <c r="H834" s="2482"/>
      <c r="I834" s="2482"/>
      <c r="J834" s="2482"/>
      <c r="K834" s="2482"/>
      <c r="L834" s="2482"/>
      <c r="M834" s="2482"/>
      <c r="N834" s="2482"/>
      <c r="O834" s="2482"/>
      <c r="P834" s="2482"/>
      <c r="Q834" s="2482"/>
      <c r="R834" s="2482"/>
      <c r="S834" s="2483"/>
      <c r="T834" s="2484">
        <f>AK272</f>
        <v>0</v>
      </c>
      <c r="U834" s="2484"/>
      <c r="V834" s="2484"/>
      <c r="W834" s="2484"/>
      <c r="X834" s="2484"/>
      <c r="Y834" s="2484"/>
      <c r="Z834" s="2485">
        <v>8</v>
      </c>
      <c r="AA834" s="2486"/>
      <c r="AB834" s="2486"/>
      <c r="AC834" s="2486"/>
      <c r="AD834" s="2486"/>
      <c r="AE834" s="2487"/>
      <c r="AF834" s="2465"/>
      <c r="AG834" s="2465"/>
      <c r="AH834" s="2465"/>
      <c r="AI834" s="2465"/>
      <c r="AJ834" s="2465"/>
      <c r="AK834" s="2465"/>
      <c r="AL834" s="814"/>
      <c r="AM834" s="594"/>
    </row>
    <row r="835" spans="1:81" s="534" customFormat="1" hidden="1">
      <c r="A835" s="816" t="s">
        <v>589</v>
      </c>
      <c r="B835" s="2482" t="s">
        <v>1567</v>
      </c>
      <c r="C835" s="2482"/>
      <c r="D835" s="2482"/>
      <c r="E835" s="2482"/>
      <c r="F835" s="2482"/>
      <c r="G835" s="2482"/>
      <c r="H835" s="2482"/>
      <c r="I835" s="2482"/>
      <c r="J835" s="2482"/>
      <c r="K835" s="2482"/>
      <c r="L835" s="2482"/>
      <c r="M835" s="2482"/>
      <c r="N835" s="2482"/>
      <c r="O835" s="2482"/>
      <c r="P835" s="2482"/>
      <c r="Q835" s="2482"/>
      <c r="R835" s="2482"/>
      <c r="S835" s="2483"/>
      <c r="T835" s="2484">
        <f>IF(AK548&gt;5,5,AK548)</f>
        <v>0</v>
      </c>
      <c r="U835" s="2484"/>
      <c r="V835" s="2484"/>
      <c r="W835" s="2484"/>
      <c r="X835" s="2484"/>
      <c r="Y835" s="2484"/>
      <c r="Z835" s="2465">
        <v>5</v>
      </c>
      <c r="AA835" s="2465"/>
      <c r="AB835" s="2465"/>
      <c r="AC835" s="2465"/>
      <c r="AD835" s="2465"/>
      <c r="AE835" s="2465"/>
      <c r="AF835" s="2465"/>
      <c r="AG835" s="2465"/>
      <c r="AH835" s="2465"/>
      <c r="AI835" s="2465"/>
      <c r="AJ835" s="2465"/>
      <c r="AK835" s="246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2" t="str">
        <f>B275</f>
        <v>Readiness to Proceed</v>
      </c>
      <c r="C836" s="2482"/>
      <c r="D836" s="2482"/>
      <c r="E836" s="2482"/>
      <c r="F836" s="2482"/>
      <c r="G836" s="2482"/>
      <c r="H836" s="2482"/>
      <c r="I836" s="2482"/>
      <c r="J836" s="2482"/>
      <c r="K836" s="2482"/>
      <c r="L836" s="2482"/>
      <c r="M836" s="2482"/>
      <c r="N836" s="2482"/>
      <c r="O836" s="2482"/>
      <c r="P836" s="2482"/>
      <c r="Q836" s="2482"/>
      <c r="R836" s="2482"/>
      <c r="S836" s="2483"/>
      <c r="T836" s="2484">
        <f>AK298</f>
        <v>10</v>
      </c>
      <c r="U836" s="2484"/>
      <c r="V836" s="2484"/>
      <c r="W836" s="2484"/>
      <c r="X836" s="2484"/>
      <c r="Y836" s="2484"/>
      <c r="Z836" s="2465">
        <v>10</v>
      </c>
      <c r="AA836" s="2465"/>
      <c r="AB836" s="2465"/>
      <c r="AC836" s="2465"/>
      <c r="AD836" s="2465"/>
      <c r="AE836" s="2465"/>
      <c r="AF836" s="2493">
        <f>IF(T836&gt;Z836,Z836,T836)</f>
        <v>10</v>
      </c>
      <c r="AG836" s="2494"/>
      <c r="AH836" s="2494"/>
      <c r="AI836" s="2494"/>
      <c r="AJ836" s="2494"/>
      <c r="AK836" s="2495"/>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2" t="str">
        <f>B301</f>
        <v>Access to Opportunity</v>
      </c>
      <c r="C837" s="2482"/>
      <c r="D837" s="2482"/>
      <c r="E837" s="2482"/>
      <c r="F837" s="2482"/>
      <c r="G837" s="2482"/>
      <c r="H837" s="2482"/>
      <c r="I837" s="2482"/>
      <c r="J837" s="2482"/>
      <c r="K837" s="2482"/>
      <c r="L837" s="2482"/>
      <c r="M837" s="2482"/>
      <c r="N837" s="2482"/>
      <c r="O837" s="2482"/>
      <c r="P837" s="2482"/>
      <c r="Q837" s="2482"/>
      <c r="R837" s="2482"/>
      <c r="S837" s="2483"/>
      <c r="T837" s="2484">
        <f>AK351</f>
        <v>9</v>
      </c>
      <c r="U837" s="2484"/>
      <c r="V837" s="2484"/>
      <c r="W837" s="2484"/>
      <c r="X837" s="2484"/>
      <c r="Y837" s="2484"/>
      <c r="Z837" s="2493">
        <v>10</v>
      </c>
      <c r="AA837" s="2494"/>
      <c r="AB837" s="2494"/>
      <c r="AC837" s="2494"/>
      <c r="AD837" s="2494"/>
      <c r="AE837" s="2495"/>
      <c r="AF837" s="2493">
        <f>IF(T837&gt;Z837,Z837,T837)</f>
        <v>9</v>
      </c>
      <c r="AG837" s="2494"/>
      <c r="AH837" s="2494"/>
      <c r="AI837" s="2494"/>
      <c r="AJ837" s="2494"/>
      <c r="AK837" s="2495"/>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90">
        <f>AK351</f>
        <v>9</v>
      </c>
      <c r="U838" s="2490"/>
      <c r="V838" s="2490"/>
      <c r="W838" s="2490"/>
      <c r="X838" s="2490"/>
      <c r="Y838" s="2490"/>
      <c r="Z838" s="2394">
        <v>20</v>
      </c>
      <c r="AA838" s="2440"/>
      <c r="AB838" s="2440"/>
      <c r="AC838" s="2440"/>
      <c r="AD838" s="2440"/>
      <c r="AE838" s="2395"/>
      <c r="AF838" s="2492"/>
      <c r="AG838" s="2492"/>
      <c r="AH838" s="2492"/>
      <c r="AI838" s="2492"/>
      <c r="AJ838" s="2492"/>
      <c r="AK838" s="2492"/>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2" t="s">
        <v>845</v>
      </c>
      <c r="C839" s="2482"/>
      <c r="D839" s="2482"/>
      <c r="E839" s="2482"/>
      <c r="F839" s="2482"/>
      <c r="G839" s="2482"/>
      <c r="H839" s="2482"/>
      <c r="I839" s="2482"/>
      <c r="J839" s="2482"/>
      <c r="K839" s="2482"/>
      <c r="L839" s="2482"/>
      <c r="M839" s="2482"/>
      <c r="N839" s="2482"/>
      <c r="O839" s="2482"/>
      <c r="P839" s="2482"/>
      <c r="Q839" s="2482"/>
      <c r="R839" s="2482"/>
      <c r="S839" s="2483"/>
      <c r="T839" s="2484">
        <f>AK482</f>
        <v>10</v>
      </c>
      <c r="U839" s="2484"/>
      <c r="V839" s="2484"/>
      <c r="W839" s="2484"/>
      <c r="X839" s="2484"/>
      <c r="Y839" s="2484"/>
      <c r="Z839" s="2493">
        <v>10</v>
      </c>
      <c r="AA839" s="2494"/>
      <c r="AB839" s="2494"/>
      <c r="AC839" s="2494"/>
      <c r="AD839" s="2494"/>
      <c r="AE839" s="2495"/>
      <c r="AF839" s="2465">
        <f>IF(T839&gt;Z839,Z839,T839)</f>
        <v>10</v>
      </c>
      <c r="AG839" s="2465"/>
      <c r="AH839" s="2465"/>
      <c r="AI839" s="2465"/>
      <c r="AJ839" s="2465"/>
      <c r="AK839" s="246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2" t="s">
        <v>1549</v>
      </c>
      <c r="C840" s="2482"/>
      <c r="D840" s="2482"/>
      <c r="E840" s="2482"/>
      <c r="F840" s="2482"/>
      <c r="G840" s="2482"/>
      <c r="H840" s="2482"/>
      <c r="I840" s="2482"/>
      <c r="J840" s="2482"/>
      <c r="K840" s="2482"/>
      <c r="L840" s="2482"/>
      <c r="M840" s="2482"/>
      <c r="N840" s="2482"/>
      <c r="O840" s="2482"/>
      <c r="P840" s="2482"/>
      <c r="Q840" s="2482"/>
      <c r="R840" s="2482"/>
      <c r="S840" s="2483"/>
      <c r="T840" s="2484">
        <f>AK572</f>
        <v>12</v>
      </c>
      <c r="U840" s="2484"/>
      <c r="V840" s="2484"/>
      <c r="W840" s="2484"/>
      <c r="X840" s="2484"/>
      <c r="Y840" s="2484"/>
      <c r="Z840" s="2493">
        <v>12</v>
      </c>
      <c r="AA840" s="2494"/>
      <c r="AB840" s="2494"/>
      <c r="AC840" s="2494"/>
      <c r="AD840" s="2494"/>
      <c r="AE840" s="2495"/>
      <c r="AF840" s="2465">
        <f>IF(T840&gt;Z840,Z840,T840)</f>
        <v>12</v>
      </c>
      <c r="AG840" s="2465"/>
      <c r="AH840" s="2465"/>
      <c r="AI840" s="2465"/>
      <c r="AJ840" s="2465"/>
      <c r="AK840" s="246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2" t="s">
        <v>1569</v>
      </c>
      <c r="C841" s="2482"/>
      <c r="D841" s="2482"/>
      <c r="E841" s="2482"/>
      <c r="F841" s="2482"/>
      <c r="G841" s="2482"/>
      <c r="H841" s="2482"/>
      <c r="I841" s="2482"/>
      <c r="J841" s="2482"/>
      <c r="K841" s="2482"/>
      <c r="L841" s="2482"/>
      <c r="M841" s="2482"/>
      <c r="N841" s="2482"/>
      <c r="O841" s="2482"/>
      <c r="P841" s="2482"/>
      <c r="Q841" s="2482"/>
      <c r="R841" s="2482"/>
      <c r="S841" s="2483"/>
      <c r="T841" s="2484">
        <f>AK816</f>
        <v>10</v>
      </c>
      <c r="U841" s="2484"/>
      <c r="V841" s="2484"/>
      <c r="W841" s="2484"/>
      <c r="X841" s="2484"/>
      <c r="Y841" s="2484"/>
      <c r="Z841" s="2493">
        <v>10</v>
      </c>
      <c r="AA841" s="2494"/>
      <c r="AB841" s="2494"/>
      <c r="AC841" s="2494"/>
      <c r="AD841" s="2494"/>
      <c r="AE841" s="2495"/>
      <c r="AF841" s="2465">
        <f>IF(T841&gt;Z841,Z841,T841)</f>
        <v>10</v>
      </c>
      <c r="AG841" s="2465"/>
      <c r="AH841" s="2465"/>
      <c r="AI841" s="2465"/>
      <c r="AJ841" s="2465"/>
      <c r="AK841" s="246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496"/>
      <c r="U842" s="2496"/>
      <c r="V842" s="2496"/>
      <c r="W842" s="2496"/>
      <c r="X842" s="2496"/>
      <c r="Y842" s="2496"/>
      <c r="Z842" s="2491" t="s">
        <v>1571</v>
      </c>
      <c r="AA842" s="2491"/>
      <c r="AB842" s="2491"/>
      <c r="AC842" s="2491"/>
      <c r="AD842" s="2491"/>
      <c r="AE842" s="2491"/>
      <c r="AF842" s="2493">
        <f>ABS(T842)</f>
        <v>0</v>
      </c>
      <c r="AG842" s="2494"/>
      <c r="AH842" s="2494"/>
      <c r="AI842" s="2494"/>
      <c r="AJ842" s="2494"/>
      <c r="AK842" s="2495"/>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7" t="s">
        <v>1572</v>
      </c>
      <c r="B843" s="2498"/>
      <c r="C843" s="2498"/>
      <c r="D843" s="2498"/>
      <c r="E843" s="2498"/>
      <c r="F843" s="2498"/>
      <c r="G843" s="2498"/>
      <c r="H843" s="2498"/>
      <c r="I843" s="2498"/>
      <c r="J843" s="2498"/>
      <c r="K843" s="2498"/>
      <c r="L843" s="2498"/>
      <c r="M843" s="2498"/>
      <c r="N843" s="2498"/>
      <c r="O843" s="2498"/>
      <c r="P843" s="2498"/>
      <c r="Q843" s="2498"/>
      <c r="R843" s="2498"/>
      <c r="S843" s="2498"/>
      <c r="T843" s="2498"/>
      <c r="U843" s="2498"/>
      <c r="V843" s="2498"/>
      <c r="W843" s="2498"/>
      <c r="X843" s="2498"/>
      <c r="Y843" s="2498"/>
      <c r="Z843" s="2498"/>
      <c r="AA843" s="2498"/>
      <c r="AB843" s="2498"/>
      <c r="AC843" s="2498"/>
      <c r="AD843" s="2498"/>
      <c r="AE843" s="2499"/>
      <c r="AF843" s="2503">
        <f ca="1">SUM(AF826:AK841)-AF842</f>
        <v>111</v>
      </c>
      <c r="AG843" s="2504"/>
      <c r="AH843" s="2504"/>
      <c r="AI843" s="2504"/>
      <c r="AJ843" s="2504"/>
      <c r="AK843" s="2505"/>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00"/>
      <c r="B844" s="2501"/>
      <c r="C844" s="2501"/>
      <c r="D844" s="2501"/>
      <c r="E844" s="2501"/>
      <c r="F844" s="2501"/>
      <c r="G844" s="2501"/>
      <c r="H844" s="2501"/>
      <c r="I844" s="2501"/>
      <c r="J844" s="2501"/>
      <c r="K844" s="2501"/>
      <c r="L844" s="2501"/>
      <c r="M844" s="2501"/>
      <c r="N844" s="2501"/>
      <c r="O844" s="2501"/>
      <c r="P844" s="2501"/>
      <c r="Q844" s="2501"/>
      <c r="R844" s="2501"/>
      <c r="S844" s="2501"/>
      <c r="T844" s="2501"/>
      <c r="U844" s="2501"/>
      <c r="V844" s="2501"/>
      <c r="W844" s="2501"/>
      <c r="X844" s="2501"/>
      <c r="Y844" s="2501"/>
      <c r="Z844" s="2501"/>
      <c r="AA844" s="2501"/>
      <c r="AB844" s="2501"/>
      <c r="AC844" s="2501"/>
      <c r="AD844" s="2501"/>
      <c r="AE844" s="2502"/>
      <c r="AF844" s="2506"/>
      <c r="AG844" s="2507"/>
      <c r="AH844" s="2507"/>
      <c r="AI844" s="2507"/>
      <c r="AJ844" s="2507"/>
      <c r="AK844" s="2508"/>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Calina Bovee</cp:lastModifiedBy>
  <cp:lastPrinted>2026-01-26T16:04:29Z</cp:lastPrinted>
  <dcterms:created xsi:type="dcterms:W3CDTF">2007-12-27T18:26:28Z</dcterms:created>
  <dcterms:modified xsi:type="dcterms:W3CDTF">2026-01-31T00:45:46Z</dcterms:modified>
</cp:coreProperties>
</file>